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2" activeTab="2"/>
  </bookViews>
  <sheets>
    <sheet name="PAC INICIAL 2018" sheetId="13" state="hidden" r:id="rId1"/>
    <sheet name="LIBRO DE PRESUPUESTO" sheetId="15" state="hidden" r:id="rId2"/>
    <sheet name="DCIEMBRE" sheetId="27" r:id="rId3"/>
    <sheet name="NOVIEMBRE" sheetId="26" state="hidden" r:id="rId4"/>
    <sheet name="OCTUBRE" sheetId="25" state="hidden" r:id="rId5"/>
    <sheet name="SEPTIEMBRE" sheetId="24" state="hidden" r:id="rId6"/>
    <sheet name="AGOSTO" sheetId="23" state="hidden" r:id="rId7"/>
    <sheet name="JULIO" sheetId="22" state="hidden" r:id="rId8"/>
    <sheet name="JUNIO" sheetId="21" state="hidden" r:id="rId9"/>
    <sheet name="MAYO" sheetId="19" state="hidden" r:id="rId10"/>
    <sheet name="ABRIL" sheetId="18" state="hidden" r:id="rId11"/>
    <sheet name="MARZO" sheetId="17" state="hidden" r:id="rId12"/>
    <sheet name="FEBRERO" sheetId="16" state="hidden" r:id="rId13"/>
    <sheet name="ENERO" sheetId="9" state="hidden" r:id="rId14"/>
    <sheet name="ingresos" sheetId="20" state="hidden" r:id="rId15"/>
    <sheet name="Hoja1" sheetId="28" state="hidden" r:id="rId16"/>
  </sheets>
  <definedNames>
    <definedName name="_xlnm._FilterDatabase" localSheetId="1" hidden="1">'LIBRO DE PRESUPUESTO'!$A$1:$M$1</definedName>
  </definedNames>
  <calcPr calcId="162913"/>
</workbook>
</file>

<file path=xl/calcChain.xml><?xml version="1.0" encoding="utf-8"?>
<calcChain xmlns="http://schemas.openxmlformats.org/spreadsheetml/2006/main">
  <c r="J122" i="15" l="1"/>
  <c r="S31" i="13"/>
  <c r="R31" i="13"/>
  <c r="Q31" i="13"/>
  <c r="O31" i="13"/>
  <c r="N31" i="13"/>
  <c r="M31" i="13"/>
  <c r="S30" i="13"/>
  <c r="R30" i="13"/>
  <c r="Q30" i="13"/>
  <c r="I27" i="13"/>
  <c r="U25" i="13"/>
  <c r="U33" i="13"/>
  <c r="U34" i="13"/>
  <c r="U35" i="13"/>
  <c r="U36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3" i="13"/>
  <c r="U68" i="13"/>
  <c r="U69" i="13"/>
  <c r="U70" i="13"/>
  <c r="U71" i="13"/>
  <c r="U72" i="13"/>
  <c r="U73" i="13"/>
  <c r="U74" i="13"/>
  <c r="U75" i="13"/>
  <c r="U76" i="13"/>
  <c r="G50" i="13"/>
  <c r="G43" i="13"/>
  <c r="G37" i="13" s="1"/>
  <c r="G38" i="13"/>
  <c r="G25" i="13"/>
  <c r="G26" i="13"/>
  <c r="U26" i="13" s="1"/>
  <c r="G27" i="13"/>
  <c r="G28" i="13"/>
  <c r="U28" i="13" s="1"/>
  <c r="G29" i="13"/>
  <c r="U29" i="13" s="1"/>
  <c r="G30" i="13"/>
  <c r="G31" i="13"/>
  <c r="G32" i="13"/>
  <c r="U32" i="13" s="1"/>
  <c r="G34" i="13"/>
  <c r="G33" i="13" s="1"/>
  <c r="G35" i="13"/>
  <c r="G36" i="13"/>
  <c r="G39" i="13"/>
  <c r="G40" i="13"/>
  <c r="G41" i="13"/>
  <c r="G42" i="13"/>
  <c r="G44" i="13"/>
  <c r="G45" i="13"/>
  <c r="G46" i="13"/>
  <c r="G47" i="13"/>
  <c r="G48" i="13"/>
  <c r="G49" i="13"/>
  <c r="L69" i="27"/>
  <c r="F49" i="13"/>
  <c r="F43" i="13" s="1"/>
  <c r="F37" i="13" s="1"/>
  <c r="F61" i="13"/>
  <c r="E43" i="13"/>
  <c r="T59" i="13"/>
  <c r="T60" i="13"/>
  <c r="T61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S60" i="13"/>
  <c r="R60" i="13"/>
  <c r="Q60" i="13"/>
  <c r="O60" i="13"/>
  <c r="N60" i="13"/>
  <c r="M60" i="13"/>
  <c r="L60" i="13"/>
  <c r="G60" i="13"/>
  <c r="G59" i="13" s="1"/>
  <c r="E37" i="13"/>
  <c r="C59" i="13"/>
  <c r="D59" i="13"/>
  <c r="F59" i="13"/>
  <c r="E59" i="13"/>
  <c r="E60" i="13"/>
  <c r="S78" i="13"/>
  <c r="D78" i="13"/>
  <c r="E78" i="13"/>
  <c r="Q75" i="13"/>
  <c r="S75" i="13"/>
  <c r="R75" i="13"/>
  <c r="P75" i="13"/>
  <c r="O75" i="13"/>
  <c r="N75" i="13"/>
  <c r="M75" i="13"/>
  <c r="L75" i="13"/>
  <c r="K75" i="13"/>
  <c r="J75" i="13"/>
  <c r="I75" i="13"/>
  <c r="H75" i="13"/>
  <c r="E75" i="13"/>
  <c r="H77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E74" i="13"/>
  <c r="F74" i="13"/>
  <c r="E73" i="13"/>
  <c r="F73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E72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E71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E70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E69" i="13"/>
  <c r="S67" i="13"/>
  <c r="H67" i="13"/>
  <c r="N67" i="13"/>
  <c r="E67" i="13"/>
  <c r="S65" i="13"/>
  <c r="M65" i="13"/>
  <c r="F65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F64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F63" i="13"/>
  <c r="S62" i="13"/>
  <c r="F62" i="13"/>
  <c r="S58" i="13"/>
  <c r="F58" i="13"/>
  <c r="E58" i="13"/>
  <c r="F56" i="13"/>
  <c r="D56" i="13"/>
  <c r="Q55" i="13"/>
  <c r="F55" i="13"/>
  <c r="E55" i="13"/>
  <c r="D55" i="13"/>
  <c r="P54" i="13"/>
  <c r="O54" i="13"/>
  <c r="L54" i="13"/>
  <c r="D54" i="13"/>
  <c r="F54" i="13"/>
  <c r="Q53" i="13"/>
  <c r="D53" i="13"/>
  <c r="E53" i="13"/>
  <c r="J52" i="13"/>
  <c r="E52" i="13"/>
  <c r="F52" i="13"/>
  <c r="O50" i="13"/>
  <c r="F50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F48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F47" i="13"/>
  <c r="P46" i="13"/>
  <c r="O46" i="13"/>
  <c r="L46" i="13"/>
  <c r="K46" i="13"/>
  <c r="H46" i="13"/>
  <c r="F46" i="13"/>
  <c r="S45" i="13"/>
  <c r="R45" i="13"/>
  <c r="Q45" i="13"/>
  <c r="P45" i="13"/>
  <c r="O45" i="13"/>
  <c r="N45" i="13"/>
  <c r="M45" i="13"/>
  <c r="L45" i="13"/>
  <c r="K45" i="13"/>
  <c r="J45" i="13"/>
  <c r="I45" i="13"/>
  <c r="E45" i="13"/>
  <c r="D45" i="13"/>
  <c r="S44" i="13"/>
  <c r="P44" i="13"/>
  <c r="O44" i="13"/>
  <c r="N44" i="13"/>
  <c r="L44" i="13"/>
  <c r="K44" i="13"/>
  <c r="J44" i="13"/>
  <c r="H44" i="13"/>
  <c r="F44" i="13"/>
  <c r="D44" i="13"/>
  <c r="J59" i="27"/>
  <c r="S40" i="13"/>
  <c r="P40" i="13"/>
  <c r="O40" i="13"/>
  <c r="L40" i="13"/>
  <c r="K40" i="13"/>
  <c r="I40" i="13"/>
  <c r="H40" i="13"/>
  <c r="E40" i="13"/>
  <c r="D40" i="13"/>
  <c r="S39" i="13"/>
  <c r="E39" i="13"/>
  <c r="F39" i="13"/>
  <c r="I189" i="15"/>
  <c r="K189" i="15" s="1"/>
  <c r="D39" i="13"/>
  <c r="S34" i="13"/>
  <c r="R34" i="13"/>
  <c r="O34" i="13"/>
  <c r="H34" i="13"/>
  <c r="D34" i="13"/>
  <c r="E34" i="13"/>
  <c r="F34" i="13"/>
  <c r="S32" i="13"/>
  <c r="N32" i="13"/>
  <c r="F32" i="13"/>
  <c r="F31" i="13"/>
  <c r="D31" i="13"/>
  <c r="F30" i="13"/>
  <c r="O30" i="13"/>
  <c r="N30" i="13"/>
  <c r="M30" i="13"/>
  <c r="D30" i="13"/>
  <c r="H30" i="13"/>
  <c r="F29" i="13"/>
  <c r="N29" i="13"/>
  <c r="E28" i="13"/>
  <c r="R28" i="13"/>
  <c r="O28" i="13"/>
  <c r="N28" i="13"/>
  <c r="M28" i="13"/>
  <c r="L28" i="13"/>
  <c r="K28" i="13"/>
  <c r="I28" i="13"/>
  <c r="F27" i="13"/>
  <c r="H27" i="13"/>
  <c r="F26" i="13"/>
  <c r="K26" i="13"/>
  <c r="J26" i="13"/>
  <c r="I26" i="13"/>
  <c r="H26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D24" i="13"/>
  <c r="T31" i="13" l="1"/>
  <c r="H67" i="27" l="1"/>
  <c r="M10" i="27"/>
  <c r="M11" i="27"/>
  <c r="M12" i="27"/>
  <c r="M13" i="27"/>
  <c r="M14" i="27"/>
  <c r="M15" i="27"/>
  <c r="M16" i="27"/>
  <c r="M17" i="27"/>
  <c r="M18" i="27"/>
  <c r="M19" i="27"/>
  <c r="C9" i="27"/>
  <c r="J52" i="27"/>
  <c r="F52" i="27"/>
  <c r="G26" i="27"/>
  <c r="G27" i="27"/>
  <c r="J54" i="27"/>
  <c r="F36" i="27"/>
  <c r="J29" i="27" l="1"/>
  <c r="F29" i="27"/>
  <c r="F28" i="27"/>
  <c r="J22" i="27"/>
  <c r="G330" i="15" l="1"/>
  <c r="F35" i="27" s="1"/>
  <c r="H414" i="15" l="1"/>
  <c r="J34" i="27"/>
  <c r="L29" i="27"/>
  <c r="H29" i="27"/>
  <c r="M29" i="27" l="1"/>
  <c r="F61" i="27"/>
  <c r="G59" i="27"/>
  <c r="G57" i="27"/>
  <c r="G54" i="27"/>
  <c r="G18" i="27" l="1"/>
  <c r="J15" i="27"/>
  <c r="G66" i="27" l="1"/>
  <c r="G65" i="27"/>
  <c r="J17" i="27" l="1"/>
  <c r="G47" i="27" l="1"/>
  <c r="G46" i="27"/>
  <c r="G43" i="27"/>
  <c r="G41" i="27"/>
  <c r="G40" i="27"/>
  <c r="G39" i="27"/>
  <c r="G22" i="27" l="1"/>
  <c r="G12" i="27"/>
  <c r="G19" i="27"/>
  <c r="G14" i="27"/>
  <c r="G11" i="27"/>
  <c r="F69" i="27"/>
  <c r="J30" i="27"/>
  <c r="F30" i="27"/>
  <c r="G34" i="27" l="1"/>
  <c r="G38" i="27"/>
  <c r="J67" i="27" l="1"/>
  <c r="F67" i="27"/>
  <c r="J63" i="27"/>
  <c r="F63" i="27"/>
  <c r="F64" i="27"/>
  <c r="J64" i="27"/>
  <c r="J65" i="27"/>
  <c r="J66" i="27"/>
  <c r="J62" i="27"/>
  <c r="J61" i="27"/>
  <c r="J56" i="27"/>
  <c r="J55" i="27"/>
  <c r="J57" i="27"/>
  <c r="J516" i="15"/>
  <c r="J50" i="27" l="1"/>
  <c r="F50" i="27"/>
  <c r="H50" i="27" s="1"/>
  <c r="J40" i="27"/>
  <c r="J39" i="27"/>
  <c r="J38" i="27"/>
  <c r="J25" i="27"/>
  <c r="J19" i="27"/>
  <c r="J12" i="27"/>
  <c r="J11" i="27"/>
  <c r="G9" i="27"/>
  <c r="J9" i="27"/>
  <c r="H71" i="27"/>
  <c r="H70" i="27"/>
  <c r="K69" i="27"/>
  <c r="J69" i="27"/>
  <c r="G69" i="27"/>
  <c r="E69" i="27"/>
  <c r="D69" i="27"/>
  <c r="C69" i="27"/>
  <c r="H68" i="27"/>
  <c r="F66" i="27"/>
  <c r="H66" i="27" s="1"/>
  <c r="F65" i="27"/>
  <c r="H65" i="27" s="1"/>
  <c r="H64" i="27"/>
  <c r="H63" i="27"/>
  <c r="H61" i="27"/>
  <c r="H60" i="27"/>
  <c r="H59" i="27"/>
  <c r="G58" i="27"/>
  <c r="E58" i="27"/>
  <c r="D58" i="27"/>
  <c r="D72" i="27" s="1"/>
  <c r="C58" i="27"/>
  <c r="H57" i="27"/>
  <c r="G56" i="27"/>
  <c r="H56" i="27" s="1"/>
  <c r="G55" i="27"/>
  <c r="H55" i="27" s="1"/>
  <c r="H54" i="27"/>
  <c r="J53" i="27"/>
  <c r="F53" i="27"/>
  <c r="E53" i="27"/>
  <c r="D53" i="27"/>
  <c r="C53" i="27"/>
  <c r="H52" i="27"/>
  <c r="H51" i="27" s="1"/>
  <c r="J51" i="27"/>
  <c r="G51" i="27"/>
  <c r="F51" i="27"/>
  <c r="E51" i="27"/>
  <c r="D51" i="27"/>
  <c r="C51" i="27"/>
  <c r="H49" i="27"/>
  <c r="G48" i="27"/>
  <c r="H48" i="27" s="1"/>
  <c r="F47" i="27"/>
  <c r="H47" i="27" s="1"/>
  <c r="H46" i="27"/>
  <c r="H45" i="27"/>
  <c r="H44" i="27"/>
  <c r="F43" i="27"/>
  <c r="H43" i="27" s="1"/>
  <c r="H42" i="27"/>
  <c r="H41" i="27"/>
  <c r="C40" i="27"/>
  <c r="H40" i="27" s="1"/>
  <c r="C39" i="27"/>
  <c r="H39" i="27" s="1"/>
  <c r="C38" i="27"/>
  <c r="H38" i="27" s="1"/>
  <c r="H37" i="27"/>
  <c r="H36" i="27"/>
  <c r="H35" i="27"/>
  <c r="H34" i="27"/>
  <c r="E33" i="27"/>
  <c r="E32" i="27" s="1"/>
  <c r="D32" i="27"/>
  <c r="H31" i="27"/>
  <c r="H30" i="27"/>
  <c r="F25" i="27"/>
  <c r="H27" i="27"/>
  <c r="H26" i="27"/>
  <c r="G25" i="27"/>
  <c r="E25" i="27"/>
  <c r="D25" i="27"/>
  <c r="C25" i="27"/>
  <c r="H24" i="27"/>
  <c r="H23" i="27"/>
  <c r="H22" i="27"/>
  <c r="C21" i="27"/>
  <c r="H21" i="27" s="1"/>
  <c r="J20" i="27"/>
  <c r="F20" i="27"/>
  <c r="E20" i="27"/>
  <c r="D20" i="27"/>
  <c r="H19" i="27"/>
  <c r="H18" i="27"/>
  <c r="H17" i="27"/>
  <c r="H16" i="27"/>
  <c r="H15" i="27"/>
  <c r="H14" i="27"/>
  <c r="H12" i="27"/>
  <c r="H11" i="27"/>
  <c r="H10" i="27"/>
  <c r="C8" i="27"/>
  <c r="E8" i="27"/>
  <c r="D8" i="27"/>
  <c r="E72" i="27" l="1"/>
  <c r="C32" i="27"/>
  <c r="H69" i="27"/>
  <c r="G32" i="27"/>
  <c r="J8" i="27"/>
  <c r="G20" i="27"/>
  <c r="J32" i="27"/>
  <c r="G8" i="27"/>
  <c r="H9" i="27"/>
  <c r="M9" i="27" s="1"/>
  <c r="H28" i="27"/>
  <c r="H25" i="27" s="1"/>
  <c r="H53" i="27"/>
  <c r="G53" i="27"/>
  <c r="H20" i="27"/>
  <c r="F32" i="27"/>
  <c r="H33" i="27"/>
  <c r="J58" i="27"/>
  <c r="C20" i="27"/>
  <c r="C72" i="27" l="1"/>
  <c r="J72" i="27"/>
  <c r="G72" i="27"/>
  <c r="H32" i="27"/>
  <c r="J4" i="15" l="1"/>
  <c r="H4" i="15"/>
  <c r="F24" i="13" s="1"/>
  <c r="G24" i="13" s="1"/>
  <c r="U24" i="13" l="1"/>
  <c r="G23" i="13"/>
  <c r="J106" i="15"/>
  <c r="J414" i="15" l="1"/>
  <c r="J15" i="26" l="1"/>
  <c r="J64" i="15"/>
  <c r="J66" i="26"/>
  <c r="F65" i="26"/>
  <c r="H65" i="26" s="1"/>
  <c r="J65" i="26"/>
  <c r="F64" i="26"/>
  <c r="H64" i="26" s="1"/>
  <c r="J64" i="26"/>
  <c r="F63" i="26"/>
  <c r="H63" i="26" s="1"/>
  <c r="J63" i="26"/>
  <c r="F62" i="26"/>
  <c r="H62" i="26" s="1"/>
  <c r="J62" i="26"/>
  <c r="J61" i="26"/>
  <c r="J60" i="26"/>
  <c r="G55" i="26"/>
  <c r="H55" i="26" s="1"/>
  <c r="J55" i="26"/>
  <c r="G54" i="26"/>
  <c r="H54" i="26" s="1"/>
  <c r="J54" i="26"/>
  <c r="J51" i="26"/>
  <c r="J50" i="26" s="1"/>
  <c r="J39" i="26"/>
  <c r="J38" i="26"/>
  <c r="J37" i="26"/>
  <c r="J35" i="26"/>
  <c r="F35" i="26"/>
  <c r="H35" i="26" s="1"/>
  <c r="F34" i="26"/>
  <c r="H34" i="26" s="1"/>
  <c r="J22" i="26"/>
  <c r="G22" i="26"/>
  <c r="G20" i="26" s="1"/>
  <c r="J13" i="26"/>
  <c r="J12" i="26"/>
  <c r="J11" i="26"/>
  <c r="J9" i="26"/>
  <c r="G9" i="26"/>
  <c r="I44" i="26"/>
  <c r="I70" i="26"/>
  <c r="H70" i="26"/>
  <c r="I69" i="26"/>
  <c r="H69" i="26"/>
  <c r="K68" i="26"/>
  <c r="J68" i="26"/>
  <c r="G68" i="26"/>
  <c r="F68" i="26"/>
  <c r="E68" i="26"/>
  <c r="D68" i="26"/>
  <c r="C68" i="26"/>
  <c r="H67" i="26"/>
  <c r="H66" i="26"/>
  <c r="F60" i="26"/>
  <c r="H59" i="26"/>
  <c r="H58" i="26"/>
  <c r="G57" i="26"/>
  <c r="E57" i="26"/>
  <c r="D57" i="26"/>
  <c r="D71" i="26" s="1"/>
  <c r="C57" i="26"/>
  <c r="H56" i="26"/>
  <c r="H53" i="26"/>
  <c r="F52" i="26"/>
  <c r="E52" i="26"/>
  <c r="D52" i="26"/>
  <c r="C52" i="26"/>
  <c r="H51" i="26"/>
  <c r="H50" i="26" s="1"/>
  <c r="G50" i="26"/>
  <c r="F50" i="26"/>
  <c r="E50" i="26"/>
  <c r="D50" i="26"/>
  <c r="C50" i="26"/>
  <c r="H49" i="26"/>
  <c r="H48" i="26"/>
  <c r="G47" i="26"/>
  <c r="G31" i="26" s="1"/>
  <c r="F46" i="26"/>
  <c r="H46" i="26" s="1"/>
  <c r="H45" i="26"/>
  <c r="H44" i="26"/>
  <c r="H43" i="26"/>
  <c r="F42" i="26"/>
  <c r="H42" i="26" s="1"/>
  <c r="H41" i="26"/>
  <c r="H40" i="26"/>
  <c r="C39" i="26"/>
  <c r="H39" i="26" s="1"/>
  <c r="C38" i="26"/>
  <c r="H38" i="26" s="1"/>
  <c r="C37" i="26"/>
  <c r="H37" i="26" s="1"/>
  <c r="H36" i="26"/>
  <c r="H33" i="26"/>
  <c r="E32" i="26"/>
  <c r="D31" i="26"/>
  <c r="H30" i="26"/>
  <c r="H29" i="26"/>
  <c r="F28" i="26"/>
  <c r="F25" i="26" s="1"/>
  <c r="H27" i="26"/>
  <c r="H26" i="26"/>
  <c r="J25" i="26"/>
  <c r="G25" i="26"/>
  <c r="E25" i="26"/>
  <c r="D25" i="26"/>
  <c r="C25" i="26"/>
  <c r="H24" i="26"/>
  <c r="H23" i="26"/>
  <c r="C21" i="26"/>
  <c r="H21" i="26" s="1"/>
  <c r="F20" i="26"/>
  <c r="E20" i="26"/>
  <c r="D20" i="26"/>
  <c r="C20" i="26"/>
  <c r="H19" i="26"/>
  <c r="H18" i="26"/>
  <c r="H17" i="26"/>
  <c r="H16" i="26"/>
  <c r="H15" i="26"/>
  <c r="H14" i="26"/>
  <c r="G12" i="26"/>
  <c r="H12" i="26" s="1"/>
  <c r="H11" i="26"/>
  <c r="H10" i="26"/>
  <c r="C9" i="26"/>
  <c r="E8" i="26"/>
  <c r="D8" i="26"/>
  <c r="G683" i="15"/>
  <c r="H683" i="15"/>
  <c r="J683" i="15"/>
  <c r="J648" i="15"/>
  <c r="G648" i="15"/>
  <c r="C31" i="26" l="1"/>
  <c r="I68" i="26"/>
  <c r="I70" i="27"/>
  <c r="L70" i="26"/>
  <c r="M70" i="26" s="1"/>
  <c r="I71" i="27"/>
  <c r="L71" i="27" s="1"/>
  <c r="M71" i="27" s="1"/>
  <c r="L44" i="26"/>
  <c r="I45" i="27"/>
  <c r="L45" i="27" s="1"/>
  <c r="M45" i="27" s="1"/>
  <c r="H9" i="26"/>
  <c r="J52" i="26"/>
  <c r="H47" i="26"/>
  <c r="G52" i="26"/>
  <c r="H60" i="26"/>
  <c r="J20" i="26"/>
  <c r="H22" i="26"/>
  <c r="H20" i="26" s="1"/>
  <c r="M44" i="26"/>
  <c r="H68" i="26"/>
  <c r="C8" i="26"/>
  <c r="C71" i="26" s="1"/>
  <c r="G8" i="26"/>
  <c r="E31" i="26"/>
  <c r="E71" i="26" s="1"/>
  <c r="H32" i="26"/>
  <c r="H28" i="26"/>
  <c r="J31" i="26"/>
  <c r="J57" i="26"/>
  <c r="J8" i="26"/>
  <c r="M16" i="26"/>
  <c r="N16" i="26" s="1"/>
  <c r="K16" i="26"/>
  <c r="M18" i="26"/>
  <c r="N18" i="26" s="1"/>
  <c r="K18" i="26"/>
  <c r="H52" i="26"/>
  <c r="L68" i="26"/>
  <c r="F31" i="26"/>
  <c r="L69" i="26"/>
  <c r="M69" i="26" s="1"/>
  <c r="M68" i="26" l="1"/>
  <c r="I69" i="27"/>
  <c r="M70" i="27"/>
  <c r="M69" i="27" s="1"/>
  <c r="G71" i="26"/>
  <c r="J71" i="26"/>
  <c r="H25" i="26"/>
  <c r="H31" i="26"/>
  <c r="J616" i="15" l="1"/>
  <c r="G612" i="15"/>
  <c r="G600" i="15" s="1"/>
  <c r="F62" i="27" l="1"/>
  <c r="F61" i="26"/>
  <c r="G77" i="15"/>
  <c r="H61" i="26" l="1"/>
  <c r="H57" i="26" s="1"/>
  <c r="F57" i="26"/>
  <c r="F13" i="27"/>
  <c r="F13" i="26"/>
  <c r="H62" i="27"/>
  <c r="F58" i="27"/>
  <c r="J65" i="25"/>
  <c r="J12" i="25"/>
  <c r="G12" i="25"/>
  <c r="J66" i="25"/>
  <c r="J64" i="25"/>
  <c r="J63" i="25"/>
  <c r="J62" i="25"/>
  <c r="J61" i="25"/>
  <c r="F60" i="25"/>
  <c r="J60" i="25"/>
  <c r="J55" i="25"/>
  <c r="J54" i="25"/>
  <c r="G47" i="25"/>
  <c r="J46" i="25"/>
  <c r="F46" i="25"/>
  <c r="J45" i="25"/>
  <c r="H44" i="25"/>
  <c r="L44" i="25"/>
  <c r="C50" i="25"/>
  <c r="J39" i="25"/>
  <c r="J38" i="25"/>
  <c r="J37" i="25"/>
  <c r="F35" i="25"/>
  <c r="H13" i="26" l="1"/>
  <c r="H8" i="26" s="1"/>
  <c r="H71" i="26" s="1"/>
  <c r="F8" i="26"/>
  <c r="F71" i="26" s="1"/>
  <c r="F8" i="27"/>
  <c r="F72" i="27" s="1"/>
  <c r="H13" i="27"/>
  <c r="H58" i="27"/>
  <c r="M44" i="25"/>
  <c r="H8" i="27" l="1"/>
  <c r="H72" i="27" s="1"/>
  <c r="G22" i="25"/>
  <c r="H22" i="25" s="1"/>
  <c r="J17" i="25"/>
  <c r="J15" i="25"/>
  <c r="J11" i="25"/>
  <c r="J9" i="25"/>
  <c r="J498" i="15"/>
  <c r="J50" i="23"/>
  <c r="I70" i="25"/>
  <c r="L70" i="25" s="1"/>
  <c r="H70" i="25"/>
  <c r="I69" i="25"/>
  <c r="I68" i="25" s="1"/>
  <c r="L68" i="25" s="1"/>
  <c r="H69" i="25"/>
  <c r="H68" i="25" s="1"/>
  <c r="K68" i="25"/>
  <c r="J68" i="25"/>
  <c r="G68" i="25"/>
  <c r="F68" i="25"/>
  <c r="E68" i="25"/>
  <c r="D68" i="25"/>
  <c r="C68" i="25"/>
  <c r="H67" i="25"/>
  <c r="H66" i="25"/>
  <c r="H65" i="25"/>
  <c r="H64" i="25"/>
  <c r="H63" i="25"/>
  <c r="H62" i="25"/>
  <c r="H61" i="25"/>
  <c r="J57" i="25"/>
  <c r="H60" i="25"/>
  <c r="H59" i="25"/>
  <c r="H58" i="25"/>
  <c r="G57" i="25"/>
  <c r="F57" i="25"/>
  <c r="E57" i="25"/>
  <c r="D57" i="25"/>
  <c r="D71" i="25" s="1"/>
  <c r="C57" i="25"/>
  <c r="H56" i="25"/>
  <c r="H55" i="25"/>
  <c r="J52" i="25"/>
  <c r="H54" i="25"/>
  <c r="H53" i="25"/>
  <c r="G52" i="25"/>
  <c r="F52" i="25"/>
  <c r="E52" i="25"/>
  <c r="D52" i="25"/>
  <c r="C52" i="25"/>
  <c r="J51" i="25"/>
  <c r="J50" i="25" s="1"/>
  <c r="H51" i="25"/>
  <c r="H50" i="25" s="1"/>
  <c r="G50" i="25"/>
  <c r="F50" i="25"/>
  <c r="E50" i="25"/>
  <c r="D50" i="25"/>
  <c r="H49" i="25"/>
  <c r="H48" i="25"/>
  <c r="H47" i="25"/>
  <c r="H46" i="25"/>
  <c r="H45" i="25"/>
  <c r="H43" i="25"/>
  <c r="F42" i="25"/>
  <c r="H42" i="25" s="1"/>
  <c r="H41" i="25"/>
  <c r="H40" i="25"/>
  <c r="C39" i="25"/>
  <c r="H39" i="25" s="1"/>
  <c r="C38" i="25"/>
  <c r="H38" i="25" s="1"/>
  <c r="C37" i="25"/>
  <c r="H37" i="25" s="1"/>
  <c r="H36" i="25"/>
  <c r="H35" i="25"/>
  <c r="F34" i="25"/>
  <c r="H33" i="25"/>
  <c r="H32" i="25"/>
  <c r="E32" i="25"/>
  <c r="E31" i="25" s="1"/>
  <c r="G31" i="25"/>
  <c r="D31" i="25"/>
  <c r="C31" i="25"/>
  <c r="H30" i="25"/>
  <c r="H29" i="25"/>
  <c r="F28" i="25"/>
  <c r="H28" i="25" s="1"/>
  <c r="H27" i="25"/>
  <c r="H26" i="25"/>
  <c r="G25" i="25"/>
  <c r="E25" i="25"/>
  <c r="D25" i="25"/>
  <c r="C25" i="25"/>
  <c r="H24" i="25"/>
  <c r="H23" i="25"/>
  <c r="C21" i="25"/>
  <c r="C20" i="25" s="1"/>
  <c r="J20" i="25"/>
  <c r="F20" i="25"/>
  <c r="E20" i="25"/>
  <c r="D20" i="25"/>
  <c r="H19" i="25"/>
  <c r="H18" i="25"/>
  <c r="M18" i="25" s="1"/>
  <c r="N18" i="25" s="1"/>
  <c r="H17" i="25"/>
  <c r="H16" i="25"/>
  <c r="M16" i="25" s="1"/>
  <c r="N16" i="25" s="1"/>
  <c r="H15" i="25"/>
  <c r="H14" i="25"/>
  <c r="H13" i="25"/>
  <c r="H12" i="25"/>
  <c r="H11" i="25"/>
  <c r="H10" i="25"/>
  <c r="G9" i="25"/>
  <c r="G8" i="25" s="1"/>
  <c r="C9" i="25"/>
  <c r="F8" i="25"/>
  <c r="E8" i="25"/>
  <c r="D8" i="25"/>
  <c r="E71" i="25" l="1"/>
  <c r="G20" i="25"/>
  <c r="G71" i="25" s="1"/>
  <c r="H21" i="25"/>
  <c r="K16" i="25"/>
  <c r="H52" i="25"/>
  <c r="L69" i="25"/>
  <c r="M70" i="25"/>
  <c r="F25" i="25"/>
  <c r="H9" i="25"/>
  <c r="H8" i="25" s="1"/>
  <c r="J8" i="25"/>
  <c r="H34" i="25"/>
  <c r="H31" i="25" s="1"/>
  <c r="F31" i="25"/>
  <c r="F71" i="25" s="1"/>
  <c r="H57" i="25"/>
  <c r="M69" i="25"/>
  <c r="H20" i="25"/>
  <c r="C8" i="25"/>
  <c r="C71" i="25" s="1"/>
  <c r="H25" i="25"/>
  <c r="K18" i="25"/>
  <c r="J25" i="25"/>
  <c r="J31" i="25"/>
  <c r="M68" i="25" l="1"/>
  <c r="J71" i="25"/>
  <c r="H71" i="25"/>
  <c r="J36" i="24" l="1"/>
  <c r="J33" i="24"/>
  <c r="J36" i="23"/>
  <c r="J33" i="23"/>
  <c r="J65" i="24" l="1"/>
  <c r="J64" i="24"/>
  <c r="J63" i="24"/>
  <c r="J62" i="24"/>
  <c r="J61" i="24"/>
  <c r="J60" i="24"/>
  <c r="J60" i="23"/>
  <c r="J61" i="23"/>
  <c r="J62" i="23"/>
  <c r="J59" i="24" l="1"/>
  <c r="J54" i="24"/>
  <c r="J53" i="24"/>
  <c r="J39" i="24"/>
  <c r="J38" i="24"/>
  <c r="J37" i="24"/>
  <c r="J35" i="24"/>
  <c r="J34" i="24"/>
  <c r="F34" i="24"/>
  <c r="F28" i="24"/>
  <c r="J28" i="24"/>
  <c r="F25" i="24" l="1"/>
  <c r="J12" i="24"/>
  <c r="J11" i="24"/>
  <c r="G9" i="24"/>
  <c r="J9" i="24"/>
  <c r="I69" i="24"/>
  <c r="L69" i="24" s="1"/>
  <c r="H69" i="24"/>
  <c r="I68" i="24"/>
  <c r="I67" i="24" s="1"/>
  <c r="H68" i="24"/>
  <c r="K67" i="24"/>
  <c r="J67" i="24"/>
  <c r="G67" i="24"/>
  <c r="F67" i="24"/>
  <c r="E67" i="24"/>
  <c r="D67" i="24"/>
  <c r="C67" i="24"/>
  <c r="H66" i="24"/>
  <c r="H65" i="24"/>
  <c r="H64" i="24"/>
  <c r="H63" i="24"/>
  <c r="H62" i="24"/>
  <c r="H61" i="24"/>
  <c r="H60" i="24"/>
  <c r="H59" i="24"/>
  <c r="H58" i="24"/>
  <c r="H57" i="24"/>
  <c r="G56" i="24"/>
  <c r="F56" i="24"/>
  <c r="E56" i="24"/>
  <c r="D56" i="24"/>
  <c r="D70" i="24" s="1"/>
  <c r="C56" i="24"/>
  <c r="H55" i="24"/>
  <c r="H54" i="24"/>
  <c r="H53" i="24"/>
  <c r="H52" i="24"/>
  <c r="G51" i="24"/>
  <c r="F51" i="24"/>
  <c r="E51" i="24"/>
  <c r="D51" i="24"/>
  <c r="C51" i="24"/>
  <c r="J49" i="24"/>
  <c r="H50" i="24"/>
  <c r="H49" i="24" s="1"/>
  <c r="G49" i="24"/>
  <c r="F49" i="24"/>
  <c r="E49" i="24"/>
  <c r="D49" i="24"/>
  <c r="C49" i="24"/>
  <c r="H48" i="24"/>
  <c r="H47" i="24"/>
  <c r="H46" i="24"/>
  <c r="H45" i="24"/>
  <c r="H44" i="24"/>
  <c r="H43" i="24"/>
  <c r="F42" i="24"/>
  <c r="F31" i="24" s="1"/>
  <c r="H41" i="24"/>
  <c r="H40" i="24"/>
  <c r="C39" i="24"/>
  <c r="H39" i="24" s="1"/>
  <c r="C38" i="24"/>
  <c r="H38" i="24" s="1"/>
  <c r="C37" i="24"/>
  <c r="H37" i="24" s="1"/>
  <c r="H36" i="24"/>
  <c r="H35" i="24"/>
  <c r="H34" i="24"/>
  <c r="H33" i="24"/>
  <c r="E32" i="24"/>
  <c r="H32" i="24" s="1"/>
  <c r="G31" i="24"/>
  <c r="D31" i="24"/>
  <c r="H30" i="24"/>
  <c r="H29" i="24"/>
  <c r="H27" i="24"/>
  <c r="H26" i="24"/>
  <c r="G25" i="24"/>
  <c r="E25" i="24"/>
  <c r="D25" i="24"/>
  <c r="C25" i="24"/>
  <c r="H24" i="24"/>
  <c r="H23" i="24"/>
  <c r="H22" i="24"/>
  <c r="C21" i="24"/>
  <c r="H21" i="24" s="1"/>
  <c r="J20" i="24"/>
  <c r="G20" i="24"/>
  <c r="F20" i="24"/>
  <c r="E20" i="24"/>
  <c r="D20" i="24"/>
  <c r="H19" i="24"/>
  <c r="H18" i="24"/>
  <c r="K18" i="24" s="1"/>
  <c r="H17" i="24"/>
  <c r="H16" i="24"/>
  <c r="K16" i="24" s="1"/>
  <c r="H15" i="24"/>
  <c r="H14" i="24"/>
  <c r="H13" i="24"/>
  <c r="H12" i="24"/>
  <c r="H11" i="24"/>
  <c r="H10" i="24"/>
  <c r="C9" i="24"/>
  <c r="C8" i="24" s="1"/>
  <c r="F8" i="24"/>
  <c r="E8" i="24"/>
  <c r="D8" i="24"/>
  <c r="E31" i="24" l="1"/>
  <c r="M69" i="24"/>
  <c r="E70" i="24"/>
  <c r="H56" i="24"/>
  <c r="H20" i="24"/>
  <c r="H9" i="24"/>
  <c r="H8" i="24" s="1"/>
  <c r="C20" i="24"/>
  <c r="C31" i="24"/>
  <c r="C70" i="24" s="1"/>
  <c r="H51" i="24"/>
  <c r="L68" i="24"/>
  <c r="M68" i="24" s="1"/>
  <c r="M67" i="24" s="1"/>
  <c r="H28" i="24"/>
  <c r="H25" i="24" s="1"/>
  <c r="J56" i="24"/>
  <c r="J51" i="24"/>
  <c r="G8" i="24"/>
  <c r="G70" i="24" s="1"/>
  <c r="J8" i="24"/>
  <c r="F70" i="24"/>
  <c r="L67" i="24"/>
  <c r="M16" i="24"/>
  <c r="N16" i="24" s="1"/>
  <c r="M18" i="24"/>
  <c r="N18" i="24" s="1"/>
  <c r="J25" i="24"/>
  <c r="H42" i="24"/>
  <c r="H67" i="24"/>
  <c r="J31" i="24"/>
  <c r="J65" i="23"/>
  <c r="J64" i="23"/>
  <c r="J63" i="23"/>
  <c r="J59" i="23"/>
  <c r="J54" i="23"/>
  <c r="J53" i="23"/>
  <c r="J49" i="23"/>
  <c r="J44" i="23"/>
  <c r="J41" i="23"/>
  <c r="J40" i="23"/>
  <c r="J39" i="23"/>
  <c r="J38" i="23"/>
  <c r="J37" i="23"/>
  <c r="J35" i="23"/>
  <c r="J28" i="23"/>
  <c r="J25" i="23" s="1"/>
  <c r="J21" i="23"/>
  <c r="J20" i="23" s="1"/>
  <c r="J17" i="23"/>
  <c r="J15" i="23"/>
  <c r="J13" i="23"/>
  <c r="J11" i="23"/>
  <c r="J9" i="23"/>
  <c r="I69" i="23"/>
  <c r="L69" i="23" s="1"/>
  <c r="H69" i="23"/>
  <c r="I68" i="23"/>
  <c r="L68" i="23" s="1"/>
  <c r="H68" i="23"/>
  <c r="K67" i="23"/>
  <c r="J67" i="23"/>
  <c r="G67" i="23"/>
  <c r="F67" i="23"/>
  <c r="E67" i="23"/>
  <c r="D67" i="23"/>
  <c r="C67" i="23"/>
  <c r="H66" i="23"/>
  <c r="H65" i="23"/>
  <c r="H64" i="23"/>
  <c r="H63" i="23"/>
  <c r="H62" i="23"/>
  <c r="H61" i="23"/>
  <c r="H60" i="23"/>
  <c r="H59" i="23"/>
  <c r="H58" i="23"/>
  <c r="H57" i="23"/>
  <c r="G56" i="23"/>
  <c r="F56" i="23"/>
  <c r="E56" i="23"/>
  <c r="D56" i="23"/>
  <c r="D70" i="23" s="1"/>
  <c r="C56" i="23"/>
  <c r="H55" i="23"/>
  <c r="H54" i="23"/>
  <c r="H53" i="23"/>
  <c r="H52" i="23"/>
  <c r="G51" i="23"/>
  <c r="F51" i="23"/>
  <c r="E51" i="23"/>
  <c r="D51" i="23"/>
  <c r="C51" i="23"/>
  <c r="H50" i="23"/>
  <c r="H49" i="23" s="1"/>
  <c r="G49" i="23"/>
  <c r="F49" i="23"/>
  <c r="E49" i="23"/>
  <c r="D49" i="23"/>
  <c r="C49" i="23"/>
  <c r="H48" i="23"/>
  <c r="H47" i="23"/>
  <c r="H46" i="23"/>
  <c r="H45" i="23"/>
  <c r="H44" i="23"/>
  <c r="H43" i="23"/>
  <c r="F42" i="23"/>
  <c r="H42" i="23" s="1"/>
  <c r="H41" i="23"/>
  <c r="H40" i="23"/>
  <c r="C39" i="23"/>
  <c r="H39" i="23" s="1"/>
  <c r="C38" i="23"/>
  <c r="H38" i="23" s="1"/>
  <c r="C37" i="23"/>
  <c r="H37" i="23" s="1"/>
  <c r="H36" i="23"/>
  <c r="H35" i="23"/>
  <c r="H34" i="23"/>
  <c r="H33" i="23"/>
  <c r="E32" i="23"/>
  <c r="H32" i="23" s="1"/>
  <c r="G31" i="23"/>
  <c r="D31" i="23"/>
  <c r="H30" i="23"/>
  <c r="H29" i="23"/>
  <c r="H28" i="23"/>
  <c r="H27" i="23"/>
  <c r="H26" i="23"/>
  <c r="G25" i="23"/>
  <c r="F25" i="23"/>
  <c r="E25" i="23"/>
  <c r="D25" i="23"/>
  <c r="C25" i="23"/>
  <c r="H24" i="23"/>
  <c r="H23" i="23"/>
  <c r="H22" i="23"/>
  <c r="C21" i="23"/>
  <c r="H21" i="23" s="1"/>
  <c r="G20" i="23"/>
  <c r="F20" i="23"/>
  <c r="E20" i="23"/>
  <c r="D20" i="23"/>
  <c r="H19" i="23"/>
  <c r="H18" i="23"/>
  <c r="M18" i="23" s="1"/>
  <c r="N18" i="23" s="1"/>
  <c r="H17" i="23"/>
  <c r="H16" i="23"/>
  <c r="K16" i="23" s="1"/>
  <c r="H15" i="23"/>
  <c r="H14" i="23"/>
  <c r="H13" i="23"/>
  <c r="H12" i="23"/>
  <c r="H11" i="23"/>
  <c r="H10" i="23"/>
  <c r="G9" i="23"/>
  <c r="G8" i="23" s="1"/>
  <c r="C9" i="23"/>
  <c r="F8" i="23"/>
  <c r="E8" i="23"/>
  <c r="D8" i="23"/>
  <c r="I67" i="23" l="1"/>
  <c r="H25" i="23"/>
  <c r="H51" i="23"/>
  <c r="C20" i="23"/>
  <c r="E31" i="23"/>
  <c r="E70" i="23" s="1"/>
  <c r="M69" i="23"/>
  <c r="M68" i="23"/>
  <c r="M67" i="23" s="1"/>
  <c r="K18" i="23"/>
  <c r="L67" i="23"/>
  <c r="G70" i="23"/>
  <c r="J70" i="24"/>
  <c r="H31" i="24"/>
  <c r="H70" i="24" s="1"/>
  <c r="J51" i="23"/>
  <c r="J8" i="23"/>
  <c r="H9" i="23"/>
  <c r="H8" i="23" s="1"/>
  <c r="F31" i="23"/>
  <c r="F70" i="23" s="1"/>
  <c r="J56" i="23"/>
  <c r="H31" i="23"/>
  <c r="H20" i="23"/>
  <c r="C8" i="23"/>
  <c r="C70" i="23" s="1"/>
  <c r="M16" i="23"/>
  <c r="N16" i="23" s="1"/>
  <c r="C31" i="23"/>
  <c r="H56" i="23"/>
  <c r="H67" i="23"/>
  <c r="J31" i="23"/>
  <c r="J35" i="22"/>
  <c r="J13" i="22"/>
  <c r="J663" i="15"/>
  <c r="J632" i="15"/>
  <c r="J584" i="15"/>
  <c r="J567" i="15"/>
  <c r="J559" i="15"/>
  <c r="J473" i="15"/>
  <c r="J454" i="15"/>
  <c r="J439" i="15"/>
  <c r="J377" i="15"/>
  <c r="J341" i="15"/>
  <c r="J212" i="15"/>
  <c r="J190" i="15"/>
  <c r="J179" i="15"/>
  <c r="J162" i="15"/>
  <c r="J151" i="15"/>
  <c r="J131" i="15"/>
  <c r="J88" i="15"/>
  <c r="J80" i="15"/>
  <c r="J65" i="22"/>
  <c r="J64" i="22"/>
  <c r="J63" i="22"/>
  <c r="J62" i="22"/>
  <c r="J61" i="22"/>
  <c r="J60" i="22"/>
  <c r="J59" i="22"/>
  <c r="J57" i="22"/>
  <c r="J55" i="22"/>
  <c r="J54" i="22"/>
  <c r="J53" i="22"/>
  <c r="J50" i="22"/>
  <c r="J39" i="22"/>
  <c r="J38" i="22"/>
  <c r="J37" i="22"/>
  <c r="J70" i="23" l="1"/>
  <c r="H70" i="23"/>
  <c r="J33" i="22"/>
  <c r="J19" i="22"/>
  <c r="J17" i="22"/>
  <c r="J15" i="22"/>
  <c r="J14" i="22"/>
  <c r="J11" i="22"/>
  <c r="J9" i="22"/>
  <c r="I69" i="22"/>
  <c r="I68" i="22"/>
  <c r="L69" i="22" l="1"/>
  <c r="H69" i="22"/>
  <c r="L68" i="22"/>
  <c r="H68" i="22"/>
  <c r="K67" i="22"/>
  <c r="J67" i="22"/>
  <c r="I67" i="22"/>
  <c r="L67" i="22" s="1"/>
  <c r="G67" i="22"/>
  <c r="F67" i="22"/>
  <c r="E67" i="22"/>
  <c r="D67" i="22"/>
  <c r="C67" i="22"/>
  <c r="H66" i="22"/>
  <c r="H65" i="22"/>
  <c r="H64" i="22"/>
  <c r="H63" i="22"/>
  <c r="H62" i="22"/>
  <c r="H61" i="22"/>
  <c r="H60" i="22"/>
  <c r="H59" i="22"/>
  <c r="H58" i="22"/>
  <c r="H57" i="22"/>
  <c r="J56" i="22"/>
  <c r="G56" i="22"/>
  <c r="F56" i="22"/>
  <c r="E56" i="22"/>
  <c r="D56" i="22"/>
  <c r="D70" i="22" s="1"/>
  <c r="C56" i="22"/>
  <c r="H55" i="22"/>
  <c r="H54" i="22"/>
  <c r="H53" i="22"/>
  <c r="H52" i="22"/>
  <c r="J51" i="22"/>
  <c r="G51" i="22"/>
  <c r="F51" i="22"/>
  <c r="E51" i="22"/>
  <c r="D51" i="22"/>
  <c r="C51" i="22"/>
  <c r="H50" i="22"/>
  <c r="H49" i="22" s="1"/>
  <c r="J49" i="22"/>
  <c r="G49" i="22"/>
  <c r="F49" i="22"/>
  <c r="E49" i="22"/>
  <c r="D49" i="22"/>
  <c r="C49" i="22"/>
  <c r="H48" i="22"/>
  <c r="H47" i="22"/>
  <c r="H46" i="22"/>
  <c r="H45" i="22"/>
  <c r="H44" i="22"/>
  <c r="H43" i="22"/>
  <c r="F42" i="22"/>
  <c r="H42" i="22" s="1"/>
  <c r="H41" i="22"/>
  <c r="H40" i="22"/>
  <c r="C39" i="22"/>
  <c r="H39" i="22" s="1"/>
  <c r="C38" i="22"/>
  <c r="H38" i="22" s="1"/>
  <c r="C37" i="22"/>
  <c r="H36" i="22"/>
  <c r="H35" i="22"/>
  <c r="H34" i="22"/>
  <c r="H33" i="22"/>
  <c r="E32" i="22"/>
  <c r="E31" i="22" s="1"/>
  <c r="G31" i="22"/>
  <c r="D31" i="22"/>
  <c r="H30" i="22"/>
  <c r="H29" i="22"/>
  <c r="H28" i="22"/>
  <c r="H27" i="22"/>
  <c r="H26" i="22"/>
  <c r="J25" i="22"/>
  <c r="G25" i="22"/>
  <c r="F25" i="22"/>
  <c r="E25" i="22"/>
  <c r="D25" i="22"/>
  <c r="C25" i="22"/>
  <c r="H24" i="22"/>
  <c r="H23" i="22"/>
  <c r="H22" i="22"/>
  <c r="C21" i="22"/>
  <c r="H21" i="22" s="1"/>
  <c r="J20" i="22"/>
  <c r="G20" i="22"/>
  <c r="F20" i="22"/>
  <c r="E20" i="22"/>
  <c r="D20" i="22"/>
  <c r="H19" i="22"/>
  <c r="H18" i="22"/>
  <c r="H17" i="22"/>
  <c r="H16" i="22"/>
  <c r="K16" i="22" s="1"/>
  <c r="H15" i="22"/>
  <c r="H14" i="22"/>
  <c r="H13" i="22"/>
  <c r="H12" i="22"/>
  <c r="H11" i="22"/>
  <c r="H10" i="22"/>
  <c r="G9" i="22"/>
  <c r="G8" i="22" s="1"/>
  <c r="C9" i="22"/>
  <c r="C8" i="22" s="1"/>
  <c r="J8" i="22"/>
  <c r="F8" i="22"/>
  <c r="E8" i="22"/>
  <c r="D8" i="22"/>
  <c r="H32" i="22" l="1"/>
  <c r="H51" i="22"/>
  <c r="M68" i="22"/>
  <c r="M67" i="22" s="1"/>
  <c r="E70" i="22"/>
  <c r="C31" i="22"/>
  <c r="M69" i="22"/>
  <c r="M16" i="22"/>
  <c r="C20" i="22"/>
  <c r="C70" i="22" s="1"/>
  <c r="H25" i="22"/>
  <c r="H56" i="22"/>
  <c r="H67" i="22"/>
  <c r="F31" i="22"/>
  <c r="F70" i="22" s="1"/>
  <c r="H9" i="22"/>
  <c r="H8" i="22" s="1"/>
  <c r="G70" i="22"/>
  <c r="J31" i="22"/>
  <c r="J70" i="22" s="1"/>
  <c r="H20" i="22"/>
  <c r="M18" i="22"/>
  <c r="K18" i="22"/>
  <c r="H37" i="22"/>
  <c r="J53" i="21"/>
  <c r="J39" i="21"/>
  <c r="J38" i="21"/>
  <c r="J37" i="21"/>
  <c r="J35" i="21"/>
  <c r="J17" i="21"/>
  <c r="J15" i="21"/>
  <c r="J13" i="21"/>
  <c r="J65" i="21"/>
  <c r="J64" i="21"/>
  <c r="J63" i="21"/>
  <c r="J62" i="21"/>
  <c r="J61" i="21"/>
  <c r="J60" i="21"/>
  <c r="J59" i="21"/>
  <c r="J54" i="21"/>
  <c r="J12" i="21"/>
  <c r="J11" i="21"/>
  <c r="J9" i="21"/>
  <c r="H31" i="22" l="1"/>
  <c r="H70" i="22" s="1"/>
  <c r="L69" i="21"/>
  <c r="H69" i="21"/>
  <c r="L68" i="21"/>
  <c r="H68" i="21"/>
  <c r="K67" i="21"/>
  <c r="J67" i="21"/>
  <c r="I67" i="21"/>
  <c r="G67" i="21"/>
  <c r="F67" i="21"/>
  <c r="E67" i="21"/>
  <c r="D67" i="21"/>
  <c r="C67" i="21"/>
  <c r="H66" i="21"/>
  <c r="H65" i="21"/>
  <c r="H64" i="21"/>
  <c r="H63" i="21"/>
  <c r="H62" i="21"/>
  <c r="H61" i="21"/>
  <c r="H60" i="21"/>
  <c r="H59" i="21"/>
  <c r="H58" i="21"/>
  <c r="H57" i="21"/>
  <c r="G56" i="21"/>
  <c r="F56" i="21"/>
  <c r="E56" i="21"/>
  <c r="D56" i="21"/>
  <c r="D70" i="21" s="1"/>
  <c r="C56" i="21"/>
  <c r="H55" i="21"/>
  <c r="H54" i="21"/>
  <c r="H53" i="21"/>
  <c r="H52" i="21"/>
  <c r="J51" i="21"/>
  <c r="G51" i="21"/>
  <c r="F51" i="21"/>
  <c r="E51" i="21"/>
  <c r="D51" i="21"/>
  <c r="C51" i="21"/>
  <c r="J49" i="21"/>
  <c r="H50" i="21"/>
  <c r="H49" i="21" s="1"/>
  <c r="G49" i="21"/>
  <c r="F49" i="21"/>
  <c r="E49" i="21"/>
  <c r="D49" i="21"/>
  <c r="C49" i="21"/>
  <c r="H48" i="21"/>
  <c r="H47" i="21"/>
  <c r="H46" i="21"/>
  <c r="H45" i="21"/>
  <c r="H44" i="21"/>
  <c r="H43" i="21"/>
  <c r="F42" i="21"/>
  <c r="H42" i="21" s="1"/>
  <c r="H41" i="21"/>
  <c r="H40" i="21"/>
  <c r="C39" i="21"/>
  <c r="H39" i="21" s="1"/>
  <c r="C38" i="21"/>
  <c r="H38" i="21" s="1"/>
  <c r="C37" i="21"/>
  <c r="H37" i="21" s="1"/>
  <c r="H36" i="21"/>
  <c r="H35" i="21"/>
  <c r="H34" i="21"/>
  <c r="H33" i="21"/>
  <c r="E32" i="21"/>
  <c r="E31" i="21" s="1"/>
  <c r="G31" i="21"/>
  <c r="D31" i="21"/>
  <c r="H30" i="21"/>
  <c r="H29" i="21"/>
  <c r="H28" i="21"/>
  <c r="H27" i="21"/>
  <c r="H26" i="21"/>
  <c r="G25" i="21"/>
  <c r="F25" i="21"/>
  <c r="E25" i="21"/>
  <c r="D25" i="21"/>
  <c r="C25" i="21"/>
  <c r="H24" i="21"/>
  <c r="H23" i="21"/>
  <c r="H22" i="21"/>
  <c r="C21" i="21"/>
  <c r="H21" i="21" s="1"/>
  <c r="J20" i="21"/>
  <c r="G20" i="21"/>
  <c r="F20" i="21"/>
  <c r="E20" i="21"/>
  <c r="D20" i="21"/>
  <c r="H19" i="21"/>
  <c r="H18" i="21"/>
  <c r="K18" i="21" s="1"/>
  <c r="H17" i="21"/>
  <c r="H16" i="21"/>
  <c r="K16" i="21" s="1"/>
  <c r="H15" i="21"/>
  <c r="H14" i="21"/>
  <c r="H13" i="21"/>
  <c r="H12" i="21"/>
  <c r="H11" i="21"/>
  <c r="H10" i="21"/>
  <c r="G9" i="21"/>
  <c r="C9" i="21"/>
  <c r="C8" i="21" s="1"/>
  <c r="F8" i="21"/>
  <c r="E8" i="21"/>
  <c r="D8" i="21"/>
  <c r="C31" i="21" l="1"/>
  <c r="H32" i="21"/>
  <c r="L67" i="21"/>
  <c r="M69" i="21"/>
  <c r="M67" i="21" s="1"/>
  <c r="M68" i="21"/>
  <c r="M18" i="21"/>
  <c r="H25" i="21"/>
  <c r="H67" i="21"/>
  <c r="H51" i="21"/>
  <c r="H56" i="21"/>
  <c r="E70" i="21"/>
  <c r="M16" i="21"/>
  <c r="C20" i="21"/>
  <c r="J56" i="21"/>
  <c r="H20" i="21"/>
  <c r="J25" i="21"/>
  <c r="C70" i="21"/>
  <c r="G8" i="21"/>
  <c r="G70" i="21" s="1"/>
  <c r="H9" i="21"/>
  <c r="J8" i="21"/>
  <c r="F31" i="21"/>
  <c r="F70" i="21" s="1"/>
  <c r="J31" i="21"/>
  <c r="H31" i="21"/>
  <c r="J70" i="21" l="1"/>
  <c r="H8" i="21"/>
  <c r="H70" i="21" s="1"/>
  <c r="J50" i="19"/>
  <c r="I50" i="21" s="1"/>
  <c r="I50" i="22" s="1"/>
  <c r="I50" i="23" s="1"/>
  <c r="I50" i="24" s="1"/>
  <c r="I51" i="25" s="1"/>
  <c r="I51" i="26" s="1"/>
  <c r="I52" i="27" s="1"/>
  <c r="I51" i="27" l="1"/>
  <c r="L51" i="27" s="1"/>
  <c r="K51" i="27" s="1"/>
  <c r="L52" i="27"/>
  <c r="M52" i="27" s="1"/>
  <c r="I50" i="26"/>
  <c r="L50" i="26" s="1"/>
  <c r="L51" i="26"/>
  <c r="M51" i="26" s="1"/>
  <c r="I50" i="25"/>
  <c r="L51" i="25"/>
  <c r="M51" i="25" s="1"/>
  <c r="L50" i="24"/>
  <c r="M50" i="24" s="1"/>
  <c r="I49" i="24"/>
  <c r="L49" i="24" s="1"/>
  <c r="L50" i="23"/>
  <c r="M50" i="23" s="1"/>
  <c r="I49" i="23"/>
  <c r="L49" i="23" s="1"/>
  <c r="I49" i="22"/>
  <c r="L49" i="22" s="1"/>
  <c r="L50" i="22"/>
  <c r="M50" i="22" s="1"/>
  <c r="I49" i="21"/>
  <c r="L49" i="21" s="1"/>
  <c r="L50" i="21"/>
  <c r="M50" i="21" s="1"/>
  <c r="J493" i="15"/>
  <c r="J44" i="19"/>
  <c r="J36" i="19"/>
  <c r="J33" i="19"/>
  <c r="J28" i="19"/>
  <c r="K52" i="27" l="1"/>
  <c r="N52" i="27"/>
  <c r="M51" i="27"/>
  <c r="N51" i="27" s="1"/>
  <c r="M50" i="26"/>
  <c r="N50" i="26" s="1"/>
  <c r="N51" i="26"/>
  <c r="N51" i="25"/>
  <c r="M50" i="25"/>
  <c r="L50" i="25"/>
  <c r="M49" i="24"/>
  <c r="N49" i="24" s="1"/>
  <c r="N50" i="24"/>
  <c r="N50" i="23"/>
  <c r="M49" i="23"/>
  <c r="N49" i="23" s="1"/>
  <c r="N50" i="22"/>
  <c r="M49" i="22"/>
  <c r="N49" i="22" s="1"/>
  <c r="M49" i="21"/>
  <c r="N49" i="21" s="1"/>
  <c r="N50" i="21"/>
  <c r="J65" i="19"/>
  <c r="J64" i="19"/>
  <c r="J63" i="19"/>
  <c r="J62" i="19"/>
  <c r="J61" i="19"/>
  <c r="J59" i="19"/>
  <c r="J39" i="19"/>
  <c r="J38" i="19"/>
  <c r="J37" i="19"/>
  <c r="J34" i="19"/>
  <c r="J13" i="19"/>
  <c r="J12" i="19"/>
  <c r="J11" i="19"/>
  <c r="J9" i="19"/>
  <c r="I33" i="19"/>
  <c r="L33" i="19" s="1"/>
  <c r="I35" i="19"/>
  <c r="I27" i="19"/>
  <c r="I27" i="21" s="1"/>
  <c r="I16" i="19"/>
  <c r="I16" i="21" s="1"/>
  <c r="I16" i="22" s="1"/>
  <c r="I16" i="23" s="1"/>
  <c r="I16" i="24" s="1"/>
  <c r="I16" i="25" s="1"/>
  <c r="I16" i="26" s="1"/>
  <c r="I16" i="27" s="1"/>
  <c r="I18" i="19"/>
  <c r="I18" i="21" s="1"/>
  <c r="I18" i="22" s="1"/>
  <c r="I18" i="23" s="1"/>
  <c r="I18" i="24" s="1"/>
  <c r="I18" i="25" s="1"/>
  <c r="I18" i="26" s="1"/>
  <c r="I18" i="27" s="1"/>
  <c r="L18" i="27" s="1"/>
  <c r="L69" i="19"/>
  <c r="H69" i="19"/>
  <c r="L68" i="19"/>
  <c r="H68" i="19"/>
  <c r="K67" i="19"/>
  <c r="J67" i="19"/>
  <c r="I67" i="19"/>
  <c r="G67" i="19"/>
  <c r="F67" i="19"/>
  <c r="E67" i="19"/>
  <c r="D67" i="19"/>
  <c r="C67" i="19"/>
  <c r="H66" i="19"/>
  <c r="H65" i="19"/>
  <c r="H64" i="19"/>
  <c r="H63" i="19"/>
  <c r="H62" i="19"/>
  <c r="H61" i="19"/>
  <c r="H60" i="19"/>
  <c r="H59" i="19"/>
  <c r="H58" i="19"/>
  <c r="H57" i="19"/>
  <c r="G56" i="19"/>
  <c r="F56" i="19"/>
  <c r="E56" i="19"/>
  <c r="D56" i="19"/>
  <c r="D70" i="19" s="1"/>
  <c r="C56" i="19"/>
  <c r="H55" i="19"/>
  <c r="H54" i="19"/>
  <c r="H53" i="19"/>
  <c r="H52" i="19"/>
  <c r="G51" i="19"/>
  <c r="F51" i="19"/>
  <c r="E51" i="19"/>
  <c r="D51" i="19"/>
  <c r="C51" i="19"/>
  <c r="L50" i="19"/>
  <c r="H50" i="19"/>
  <c r="J49" i="19"/>
  <c r="I49" i="19"/>
  <c r="G49" i="19"/>
  <c r="F49" i="19"/>
  <c r="E49" i="19"/>
  <c r="D49" i="19"/>
  <c r="C49" i="19"/>
  <c r="H48" i="19"/>
  <c r="H47" i="19"/>
  <c r="H46" i="19"/>
  <c r="H45" i="19"/>
  <c r="H44" i="19"/>
  <c r="H43" i="19"/>
  <c r="F42" i="19"/>
  <c r="F31" i="19" s="1"/>
  <c r="H41" i="19"/>
  <c r="H40" i="19"/>
  <c r="C39" i="19"/>
  <c r="H39" i="19" s="1"/>
  <c r="C38" i="19"/>
  <c r="H38" i="19" s="1"/>
  <c r="C37" i="19"/>
  <c r="H37" i="19" s="1"/>
  <c r="H36" i="19"/>
  <c r="H35" i="19"/>
  <c r="H34" i="19"/>
  <c r="H33" i="19"/>
  <c r="E32" i="19"/>
  <c r="E31" i="19" s="1"/>
  <c r="G31" i="19"/>
  <c r="D31" i="19"/>
  <c r="H30" i="19"/>
  <c r="H29" i="19"/>
  <c r="H28" i="19"/>
  <c r="H27" i="19"/>
  <c r="H26" i="19"/>
  <c r="J25" i="19"/>
  <c r="G25" i="19"/>
  <c r="F25" i="19"/>
  <c r="E25" i="19"/>
  <c r="D25" i="19"/>
  <c r="C25" i="19"/>
  <c r="H24" i="19"/>
  <c r="H23" i="19"/>
  <c r="H22" i="19"/>
  <c r="C21" i="19"/>
  <c r="H21" i="19" s="1"/>
  <c r="J20" i="19"/>
  <c r="G20" i="19"/>
  <c r="F20" i="19"/>
  <c r="E20" i="19"/>
  <c r="D20" i="19"/>
  <c r="H19" i="19"/>
  <c r="H18" i="19"/>
  <c r="M18" i="19" s="1"/>
  <c r="H17" i="19"/>
  <c r="H16" i="19"/>
  <c r="K16" i="19" s="1"/>
  <c r="H15" i="19"/>
  <c r="H14" i="19"/>
  <c r="H13" i="19"/>
  <c r="H12" i="19"/>
  <c r="H11" i="19"/>
  <c r="H10" i="19"/>
  <c r="G9" i="19"/>
  <c r="C9" i="19"/>
  <c r="C8" i="19" s="1"/>
  <c r="F8" i="19"/>
  <c r="E8" i="19"/>
  <c r="D8" i="19"/>
  <c r="N18" i="27" l="1"/>
  <c r="K18" i="27"/>
  <c r="L27" i="19"/>
  <c r="M27" i="19" s="1"/>
  <c r="L27" i="21"/>
  <c r="M27" i="21" s="1"/>
  <c r="I27" i="22"/>
  <c r="N50" i="25"/>
  <c r="I33" i="21"/>
  <c r="L35" i="19"/>
  <c r="M35" i="19" s="1"/>
  <c r="I35" i="21"/>
  <c r="C20" i="19"/>
  <c r="H51" i="19"/>
  <c r="E70" i="19"/>
  <c r="L67" i="19"/>
  <c r="H9" i="19"/>
  <c r="H8" i="19" s="1"/>
  <c r="K18" i="19"/>
  <c r="C31" i="19"/>
  <c r="H32" i="19"/>
  <c r="M69" i="19"/>
  <c r="M33" i="19"/>
  <c r="L49" i="19"/>
  <c r="M50" i="19"/>
  <c r="N50" i="19" s="1"/>
  <c r="F70" i="19"/>
  <c r="G8" i="19"/>
  <c r="G70" i="19" s="1"/>
  <c r="K33" i="19"/>
  <c r="H20" i="19"/>
  <c r="H42" i="19"/>
  <c r="J8" i="19"/>
  <c r="M16" i="19"/>
  <c r="H25" i="19"/>
  <c r="J31" i="19"/>
  <c r="H56" i="19"/>
  <c r="M68" i="19"/>
  <c r="H67" i="19"/>
  <c r="H49" i="19"/>
  <c r="J605" i="15"/>
  <c r="J60" i="19" s="1"/>
  <c r="J56" i="19" s="1"/>
  <c r="J546" i="15"/>
  <c r="J54" i="19" s="1"/>
  <c r="K27" i="19" l="1"/>
  <c r="K35" i="19"/>
  <c r="K27" i="21"/>
  <c r="I27" i="23"/>
  <c r="L27" i="22"/>
  <c r="L35" i="21"/>
  <c r="K35" i="21" s="1"/>
  <c r="I35" i="22"/>
  <c r="L33" i="21"/>
  <c r="M33" i="21" s="1"/>
  <c r="I33" i="22"/>
  <c r="C70" i="19"/>
  <c r="M67" i="19"/>
  <c r="M49" i="19"/>
  <c r="N49" i="19" s="1"/>
  <c r="H31" i="19"/>
  <c r="H70" i="19" s="1"/>
  <c r="J531" i="15"/>
  <c r="J53" i="19" s="1"/>
  <c r="J51" i="19" s="1"/>
  <c r="J70" i="19" s="1"/>
  <c r="M35" i="21" l="1"/>
  <c r="L35" i="22"/>
  <c r="I35" i="23"/>
  <c r="K27" i="22"/>
  <c r="M27" i="22"/>
  <c r="I27" i="24"/>
  <c r="L27" i="23"/>
  <c r="K33" i="21"/>
  <c r="L33" i="22"/>
  <c r="M33" i="22" s="1"/>
  <c r="I33" i="23"/>
  <c r="J34" i="18"/>
  <c r="L27" i="18"/>
  <c r="H27" i="18"/>
  <c r="H22" i="18"/>
  <c r="K27" i="23" l="1"/>
  <c r="M27" i="23"/>
  <c r="L35" i="23"/>
  <c r="I35" i="24"/>
  <c r="I27" i="25"/>
  <c r="L27" i="24"/>
  <c r="K35" i="22"/>
  <c r="M35" i="22"/>
  <c r="L33" i="23"/>
  <c r="K33" i="23" s="1"/>
  <c r="I33" i="24"/>
  <c r="I33" i="25" s="1"/>
  <c r="K33" i="22"/>
  <c r="K27" i="18"/>
  <c r="M27" i="18"/>
  <c r="L27" i="25" l="1"/>
  <c r="M27" i="25" s="1"/>
  <c r="I27" i="26"/>
  <c r="L33" i="25"/>
  <c r="M33" i="25" s="1"/>
  <c r="N33" i="25" s="1"/>
  <c r="I33" i="26"/>
  <c r="L35" i="24"/>
  <c r="I35" i="25"/>
  <c r="K27" i="24"/>
  <c r="M27" i="24"/>
  <c r="K35" i="23"/>
  <c r="M35" i="23"/>
  <c r="N35" i="23" s="1"/>
  <c r="M33" i="23"/>
  <c r="N33" i="23" s="1"/>
  <c r="L33" i="24"/>
  <c r="L35" i="18"/>
  <c r="H35" i="18"/>
  <c r="M35" i="18" s="1"/>
  <c r="H33" i="18"/>
  <c r="L33" i="18"/>
  <c r="J32" i="18"/>
  <c r="F131" i="15"/>
  <c r="I27" i="27" l="1"/>
  <c r="L27" i="27" s="1"/>
  <c r="M27" i="27" s="1"/>
  <c r="L27" i="26"/>
  <c r="M27" i="26" s="1"/>
  <c r="K33" i="25"/>
  <c r="L33" i="26"/>
  <c r="M33" i="26" s="1"/>
  <c r="N33" i="26" s="1"/>
  <c r="I34" i="27"/>
  <c r="L34" i="27" s="1"/>
  <c r="L35" i="25"/>
  <c r="K35" i="25" s="1"/>
  <c r="I35" i="26"/>
  <c r="K35" i="24"/>
  <c r="M35" i="24"/>
  <c r="N35" i="24" s="1"/>
  <c r="K33" i="24"/>
  <c r="M33" i="24"/>
  <c r="N33" i="24" s="1"/>
  <c r="K33" i="18"/>
  <c r="M33" i="18"/>
  <c r="K35" i="18"/>
  <c r="H36" i="18"/>
  <c r="J36" i="18"/>
  <c r="H18" i="18"/>
  <c r="H16" i="18"/>
  <c r="J65" i="18"/>
  <c r="J64" i="18"/>
  <c r="J63" i="18"/>
  <c r="J62" i="18"/>
  <c r="J61" i="18"/>
  <c r="J59" i="18"/>
  <c r="J53" i="18"/>
  <c r="J39" i="18"/>
  <c r="J38" i="18"/>
  <c r="J37" i="18"/>
  <c r="J28" i="18"/>
  <c r="J25" i="18" s="1"/>
  <c r="J13" i="18"/>
  <c r="J12" i="18"/>
  <c r="J11" i="18"/>
  <c r="J9" i="18"/>
  <c r="L69" i="18"/>
  <c r="H69" i="18"/>
  <c r="L68" i="18"/>
  <c r="H68" i="18"/>
  <c r="K67" i="18"/>
  <c r="J67" i="18"/>
  <c r="I67" i="18"/>
  <c r="G67" i="18"/>
  <c r="F67" i="18"/>
  <c r="E67" i="18"/>
  <c r="D67" i="18"/>
  <c r="C67" i="18"/>
  <c r="H66" i="18"/>
  <c r="H65" i="18"/>
  <c r="H64" i="18"/>
  <c r="H63" i="18"/>
  <c r="H62" i="18"/>
  <c r="H61" i="18"/>
  <c r="H60" i="18"/>
  <c r="H59" i="18"/>
  <c r="H58" i="18"/>
  <c r="H57" i="18"/>
  <c r="G56" i="18"/>
  <c r="F56" i="18"/>
  <c r="E56" i="18"/>
  <c r="D56" i="18"/>
  <c r="D70" i="18" s="1"/>
  <c r="C56" i="18"/>
  <c r="H55" i="18"/>
  <c r="H54" i="18"/>
  <c r="H53" i="18"/>
  <c r="H52" i="18"/>
  <c r="G51" i="18"/>
  <c r="F51" i="18"/>
  <c r="E51" i="18"/>
  <c r="D51" i="18"/>
  <c r="C51" i="18"/>
  <c r="L50" i="18"/>
  <c r="H50" i="18"/>
  <c r="J49" i="18"/>
  <c r="I49" i="18"/>
  <c r="G49" i="18"/>
  <c r="F49" i="18"/>
  <c r="E49" i="18"/>
  <c r="D49" i="18"/>
  <c r="C49" i="18"/>
  <c r="H48" i="18"/>
  <c r="H47" i="18"/>
  <c r="H46" i="18"/>
  <c r="H45" i="18"/>
  <c r="H44" i="18"/>
  <c r="H43" i="18"/>
  <c r="F42" i="18"/>
  <c r="H42" i="18" s="1"/>
  <c r="H41" i="18"/>
  <c r="H40" i="18"/>
  <c r="C39" i="18"/>
  <c r="H39" i="18" s="1"/>
  <c r="C38" i="18"/>
  <c r="C37" i="18"/>
  <c r="H37" i="18" s="1"/>
  <c r="H34" i="18"/>
  <c r="E32" i="18"/>
  <c r="E31" i="18" s="1"/>
  <c r="G31" i="18"/>
  <c r="D31" i="18"/>
  <c r="H30" i="18"/>
  <c r="H29" i="18"/>
  <c r="H28" i="18"/>
  <c r="H26" i="18"/>
  <c r="G25" i="18"/>
  <c r="F25" i="18"/>
  <c r="E25" i="18"/>
  <c r="D25" i="18"/>
  <c r="C25" i="18"/>
  <c r="H24" i="18"/>
  <c r="H23" i="18"/>
  <c r="C21" i="18"/>
  <c r="C20" i="18" s="1"/>
  <c r="J20" i="18"/>
  <c r="G20" i="18"/>
  <c r="F20" i="18"/>
  <c r="E20" i="18"/>
  <c r="D20" i="18"/>
  <c r="H19" i="18"/>
  <c r="H17" i="18"/>
  <c r="H15" i="18"/>
  <c r="H14" i="18"/>
  <c r="H13" i="18"/>
  <c r="H12" i="18"/>
  <c r="H11" i="18"/>
  <c r="H10" i="18"/>
  <c r="G9" i="18"/>
  <c r="G8" i="18" s="1"/>
  <c r="C9" i="18"/>
  <c r="C8" i="18" s="1"/>
  <c r="F8" i="18"/>
  <c r="E8" i="18"/>
  <c r="D8" i="18"/>
  <c r="K33" i="26" l="1"/>
  <c r="M35" i="25"/>
  <c r="N35" i="25" s="1"/>
  <c r="L35" i="26"/>
  <c r="M35" i="26" s="1"/>
  <c r="N35" i="26" s="1"/>
  <c r="I36" i="27"/>
  <c r="L36" i="27" s="1"/>
  <c r="K34" i="27"/>
  <c r="M34" i="27"/>
  <c r="N34" i="27" s="1"/>
  <c r="K35" i="26"/>
  <c r="M68" i="18"/>
  <c r="M69" i="18"/>
  <c r="H49" i="18"/>
  <c r="M50" i="18"/>
  <c r="M49" i="18" s="1"/>
  <c r="M16" i="18"/>
  <c r="K16" i="18"/>
  <c r="K18" i="18"/>
  <c r="M18" i="18"/>
  <c r="E70" i="18"/>
  <c r="H67" i="18"/>
  <c r="H51" i="18"/>
  <c r="H56" i="18"/>
  <c r="L49" i="18"/>
  <c r="H25" i="18"/>
  <c r="H32" i="18"/>
  <c r="H21" i="18"/>
  <c r="H20" i="18" s="1"/>
  <c r="F31" i="18"/>
  <c r="F70" i="18" s="1"/>
  <c r="L67" i="18"/>
  <c r="G70" i="18"/>
  <c r="C31" i="18"/>
  <c r="C70" i="18" s="1"/>
  <c r="J31" i="18"/>
  <c r="H38" i="18"/>
  <c r="J8" i="18"/>
  <c r="H9" i="18"/>
  <c r="J11" i="9"/>
  <c r="K36" i="27" l="1"/>
  <c r="M36" i="27"/>
  <c r="N36" i="27" s="1"/>
  <c r="N49" i="18"/>
  <c r="M67" i="18"/>
  <c r="N50" i="18"/>
  <c r="H31" i="18"/>
  <c r="H8" i="18"/>
  <c r="J604" i="15"/>
  <c r="J60" i="18" s="1"/>
  <c r="J56" i="18" s="1"/>
  <c r="J545" i="15"/>
  <c r="J54" i="18" s="1"/>
  <c r="J51" i="18" s="1"/>
  <c r="J70" i="18" l="1"/>
  <c r="H70" i="18"/>
  <c r="E498" i="15" l="1"/>
  <c r="F498" i="15"/>
  <c r="G498" i="15"/>
  <c r="G497" i="15" s="1"/>
  <c r="H498" i="15"/>
  <c r="H497" i="15" s="1"/>
  <c r="J497" i="15"/>
  <c r="G493" i="15"/>
  <c r="I498" i="15" l="1"/>
  <c r="I497" i="15" s="1"/>
  <c r="K497" i="15" s="1"/>
  <c r="K498" i="15" l="1"/>
  <c r="J59" i="17"/>
  <c r="J58" i="17"/>
  <c r="J57" i="17"/>
  <c r="J56" i="17"/>
  <c r="J55" i="17"/>
  <c r="J53" i="17"/>
  <c r="E28" i="17"/>
  <c r="E27" i="17" s="1"/>
  <c r="J33" i="17"/>
  <c r="J36" i="17"/>
  <c r="F36" i="17"/>
  <c r="H36" i="17" s="1"/>
  <c r="J32" i="17"/>
  <c r="J31" i="17"/>
  <c r="J29" i="17"/>
  <c r="J28" i="17"/>
  <c r="J12" i="17"/>
  <c r="G9" i="17"/>
  <c r="J9" i="17"/>
  <c r="M63" i="17"/>
  <c r="H63" i="17"/>
  <c r="N63" i="17" s="1"/>
  <c r="M62" i="17"/>
  <c r="H62" i="17"/>
  <c r="N62" i="17" s="1"/>
  <c r="L61" i="17"/>
  <c r="K61" i="17"/>
  <c r="J61" i="17"/>
  <c r="I61" i="17"/>
  <c r="G61" i="17"/>
  <c r="F61" i="17"/>
  <c r="E61" i="17"/>
  <c r="D61" i="17"/>
  <c r="C61" i="17"/>
  <c r="H60" i="17"/>
  <c r="H59" i="17"/>
  <c r="H58" i="17"/>
  <c r="H57" i="17"/>
  <c r="H56" i="17"/>
  <c r="H55" i="17"/>
  <c r="H54" i="17"/>
  <c r="H53" i="17"/>
  <c r="H52" i="17"/>
  <c r="H51" i="17"/>
  <c r="G50" i="17"/>
  <c r="F50" i="17"/>
  <c r="E50" i="17"/>
  <c r="D50" i="17"/>
  <c r="D64" i="17" s="1"/>
  <c r="C50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I43" i="17"/>
  <c r="G43" i="17"/>
  <c r="F43" i="17"/>
  <c r="E43" i="17"/>
  <c r="D43" i="17"/>
  <c r="C43" i="17"/>
  <c r="H42" i="17"/>
  <c r="H41" i="17"/>
  <c r="H40" i="17"/>
  <c r="H39" i="17"/>
  <c r="H38" i="17"/>
  <c r="H37" i="17"/>
  <c r="H35" i="17"/>
  <c r="H34" i="17"/>
  <c r="C33" i="17"/>
  <c r="H33" i="17" s="1"/>
  <c r="C32" i="17"/>
  <c r="H32" i="17" s="1"/>
  <c r="C31" i="17"/>
  <c r="H30" i="17"/>
  <c r="H29" i="17"/>
  <c r="G27" i="17"/>
  <c r="D27" i="17"/>
  <c r="H26" i="17"/>
  <c r="H25" i="17"/>
  <c r="H24" i="17"/>
  <c r="H23" i="17"/>
  <c r="G22" i="17"/>
  <c r="F22" i="17"/>
  <c r="E22" i="17"/>
  <c r="D22" i="17"/>
  <c r="C22" i="17"/>
  <c r="H21" i="17"/>
  <c r="H20" i="17"/>
  <c r="C19" i="17"/>
  <c r="H19" i="17" s="1"/>
  <c r="J18" i="17"/>
  <c r="G18" i="17"/>
  <c r="F18" i="17"/>
  <c r="E18" i="17"/>
  <c r="D18" i="17"/>
  <c r="H17" i="17"/>
  <c r="H16" i="17"/>
  <c r="H15" i="17"/>
  <c r="H14" i="17"/>
  <c r="H13" i="17"/>
  <c r="H12" i="17"/>
  <c r="H11" i="17"/>
  <c r="H10" i="17"/>
  <c r="C9" i="17"/>
  <c r="C8" i="17" s="1"/>
  <c r="F8" i="17"/>
  <c r="E8" i="17"/>
  <c r="D8" i="17"/>
  <c r="H28" i="17" l="1"/>
  <c r="H18" i="17"/>
  <c r="H22" i="17"/>
  <c r="C18" i="17"/>
  <c r="M43" i="17"/>
  <c r="H61" i="17"/>
  <c r="E64" i="17"/>
  <c r="H50" i="17"/>
  <c r="M61" i="17"/>
  <c r="N61" i="17"/>
  <c r="H9" i="17"/>
  <c r="H8" i="17" s="1"/>
  <c r="F27" i="17"/>
  <c r="F64" i="17" s="1"/>
  <c r="G8" i="17"/>
  <c r="G64" i="17" s="1"/>
  <c r="H31" i="17"/>
  <c r="C27" i="17"/>
  <c r="N44" i="17"/>
  <c r="O44" i="17" s="1"/>
  <c r="H43" i="17"/>
  <c r="J27" i="17"/>
  <c r="J22" i="17"/>
  <c r="K43" i="17"/>
  <c r="H45" i="17"/>
  <c r="J603" i="15"/>
  <c r="J54" i="17" s="1"/>
  <c r="J50" i="17" s="1"/>
  <c r="J529" i="15"/>
  <c r="J47" i="17" s="1"/>
  <c r="J544" i="15"/>
  <c r="J48" i="17" s="1"/>
  <c r="J33" i="15"/>
  <c r="J29" i="15" s="1"/>
  <c r="J11" i="17" l="1"/>
  <c r="J8" i="17" s="1"/>
  <c r="C64" i="17"/>
  <c r="J45" i="17"/>
  <c r="N43" i="17"/>
  <c r="O43" i="17" s="1"/>
  <c r="H27" i="17"/>
  <c r="H64" i="17" s="1"/>
  <c r="J64" i="17" l="1"/>
  <c r="J32" i="16"/>
  <c r="J59" i="16" l="1"/>
  <c r="J58" i="16"/>
  <c r="J57" i="16"/>
  <c r="J56" i="16"/>
  <c r="J55" i="16"/>
  <c r="J53" i="16"/>
  <c r="J51" i="16"/>
  <c r="J33" i="16"/>
  <c r="J31" i="16"/>
  <c r="J29" i="16"/>
  <c r="J29" i="9"/>
  <c r="I29" i="16" s="1"/>
  <c r="J13" i="16"/>
  <c r="J24" i="16"/>
  <c r="J22" i="16" s="1"/>
  <c r="J11" i="16"/>
  <c r="J9" i="16"/>
  <c r="I52" i="16"/>
  <c r="I52" i="17" s="1"/>
  <c r="I60" i="16"/>
  <c r="I60" i="17" s="1"/>
  <c r="I51" i="16"/>
  <c r="I49" i="16"/>
  <c r="I49" i="17" s="1"/>
  <c r="I46" i="16"/>
  <c r="I34" i="16"/>
  <c r="I35" i="16"/>
  <c r="I35" i="17" s="1"/>
  <c r="I36" i="16"/>
  <c r="K36" i="16" s="1"/>
  <c r="I37" i="16"/>
  <c r="I37" i="17" s="1"/>
  <c r="I38" i="16"/>
  <c r="I39" i="16"/>
  <c r="I39" i="17" s="1"/>
  <c r="I40" i="16"/>
  <c r="M40" i="16" s="1"/>
  <c r="I41" i="16"/>
  <c r="I41" i="17" s="1"/>
  <c r="I42" i="16"/>
  <c r="I42" i="17" s="1"/>
  <c r="I25" i="16"/>
  <c r="I25" i="17" s="1"/>
  <c r="I26" i="16"/>
  <c r="I26" i="17" s="1"/>
  <c r="I23" i="16"/>
  <c r="I23" i="17" s="1"/>
  <c r="I20" i="16"/>
  <c r="I20" i="17" s="1"/>
  <c r="I21" i="16"/>
  <c r="I21" i="17" s="1"/>
  <c r="I10" i="16"/>
  <c r="I13" i="16"/>
  <c r="I14" i="16"/>
  <c r="I16" i="16"/>
  <c r="I16" i="17" s="1"/>
  <c r="I17" i="16"/>
  <c r="I17" i="17" s="1"/>
  <c r="M63" i="16"/>
  <c r="H63" i="16"/>
  <c r="N63" i="16" s="1"/>
  <c r="M62" i="16"/>
  <c r="H62" i="16"/>
  <c r="N62" i="16" s="1"/>
  <c r="L61" i="16"/>
  <c r="K61" i="16"/>
  <c r="J61" i="16"/>
  <c r="I61" i="16"/>
  <c r="G61" i="16"/>
  <c r="F61" i="16"/>
  <c r="E61" i="16"/>
  <c r="D61" i="16"/>
  <c r="C61" i="16"/>
  <c r="K60" i="16"/>
  <c r="H60" i="16"/>
  <c r="H59" i="16"/>
  <c r="H58" i="16"/>
  <c r="H57" i="16"/>
  <c r="H56" i="16"/>
  <c r="H55" i="16"/>
  <c r="H54" i="16"/>
  <c r="H53" i="16"/>
  <c r="H52" i="16"/>
  <c r="H51" i="16"/>
  <c r="G50" i="16"/>
  <c r="F50" i="16"/>
  <c r="E50" i="16"/>
  <c r="D50" i="16"/>
  <c r="D64" i="16" s="1"/>
  <c r="C50" i="16"/>
  <c r="H49" i="16"/>
  <c r="H48" i="16"/>
  <c r="H47" i="16"/>
  <c r="H46" i="16"/>
  <c r="G45" i="16"/>
  <c r="F45" i="16"/>
  <c r="E45" i="16"/>
  <c r="D45" i="16"/>
  <c r="C45" i="16"/>
  <c r="M44" i="16"/>
  <c r="H44" i="16"/>
  <c r="N44" i="16" s="1"/>
  <c r="O44" i="16" s="1"/>
  <c r="J43" i="16"/>
  <c r="I43" i="16"/>
  <c r="G43" i="16"/>
  <c r="F43" i="16"/>
  <c r="E43" i="16"/>
  <c r="D43" i="16"/>
  <c r="C43" i="16"/>
  <c r="H42" i="16"/>
  <c r="H41" i="16"/>
  <c r="H40" i="16"/>
  <c r="H39" i="16"/>
  <c r="M38" i="16"/>
  <c r="H38" i="16"/>
  <c r="H37" i="16"/>
  <c r="H36" i="16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H26" i="16"/>
  <c r="H25" i="16"/>
  <c r="H24" i="16"/>
  <c r="H23" i="16"/>
  <c r="G22" i="16"/>
  <c r="F22" i="16"/>
  <c r="E22" i="16"/>
  <c r="D22" i="16"/>
  <c r="C22" i="16"/>
  <c r="H21" i="16"/>
  <c r="H20" i="16"/>
  <c r="C19" i="16"/>
  <c r="H19" i="16" s="1"/>
  <c r="G18" i="16"/>
  <c r="F18" i="16"/>
  <c r="E18" i="16"/>
  <c r="D18" i="16"/>
  <c r="H17" i="16"/>
  <c r="M16" i="16"/>
  <c r="H16" i="16"/>
  <c r="H15" i="16"/>
  <c r="H14" i="16"/>
  <c r="H13" i="16"/>
  <c r="H12" i="16"/>
  <c r="H11" i="16"/>
  <c r="H10" i="16"/>
  <c r="C9" i="16"/>
  <c r="G8" i="16"/>
  <c r="F8" i="16"/>
  <c r="E8" i="16"/>
  <c r="D8" i="16"/>
  <c r="K37" i="16" l="1"/>
  <c r="N37" i="16" s="1"/>
  <c r="O37" i="16" s="1"/>
  <c r="M23" i="16"/>
  <c r="M52" i="16"/>
  <c r="K41" i="16"/>
  <c r="N41" i="16" s="1"/>
  <c r="M21" i="16"/>
  <c r="E64" i="16"/>
  <c r="M39" i="16"/>
  <c r="K23" i="16"/>
  <c r="N23" i="16" s="1"/>
  <c r="M37" i="16"/>
  <c r="M41" i="16"/>
  <c r="K52" i="16"/>
  <c r="N52" i="16" s="1"/>
  <c r="N61" i="16"/>
  <c r="M60" i="16"/>
  <c r="K21" i="16"/>
  <c r="N21" i="16" s="1"/>
  <c r="K25" i="16"/>
  <c r="N25" i="16" s="1"/>
  <c r="O25" i="16" s="1"/>
  <c r="K35" i="16"/>
  <c r="N35" i="16" s="1"/>
  <c r="K16" i="16"/>
  <c r="N16" i="16" s="1"/>
  <c r="O16" i="16" s="1"/>
  <c r="M25" i="16"/>
  <c r="M35" i="16"/>
  <c r="K39" i="16"/>
  <c r="N39" i="16" s="1"/>
  <c r="O39" i="16" s="1"/>
  <c r="H22" i="16"/>
  <c r="K26" i="16"/>
  <c r="N26" i="16" s="1"/>
  <c r="G64" i="16"/>
  <c r="M26" i="16"/>
  <c r="H50" i="16"/>
  <c r="L16" i="16"/>
  <c r="C18" i="16"/>
  <c r="L36" i="16"/>
  <c r="H43" i="16"/>
  <c r="M61" i="16"/>
  <c r="M17" i="17"/>
  <c r="I19" i="18"/>
  <c r="K17" i="17"/>
  <c r="M10" i="16"/>
  <c r="I10" i="17"/>
  <c r="I30" i="18"/>
  <c r="M26" i="17"/>
  <c r="K26" i="17"/>
  <c r="N26" i="17" s="1"/>
  <c r="K40" i="16"/>
  <c r="L40" i="16" s="1"/>
  <c r="I40" i="17"/>
  <c r="M36" i="16"/>
  <c r="I36" i="17"/>
  <c r="I55" i="18"/>
  <c r="I55" i="21" s="1"/>
  <c r="K49" i="17"/>
  <c r="M49" i="17"/>
  <c r="I51" i="17"/>
  <c r="I57" i="18" s="1"/>
  <c r="I17" i="18"/>
  <c r="M16" i="17"/>
  <c r="K16" i="17"/>
  <c r="I24" i="18"/>
  <c r="K21" i="17"/>
  <c r="N21" i="17" s="1"/>
  <c r="M21" i="17"/>
  <c r="I29" i="18"/>
  <c r="M25" i="17"/>
  <c r="K25" i="17"/>
  <c r="I45" i="18"/>
  <c r="K39" i="17"/>
  <c r="M39" i="17"/>
  <c r="I41" i="18"/>
  <c r="M35" i="17"/>
  <c r="K35" i="17"/>
  <c r="N35" i="17" s="1"/>
  <c r="L37" i="16"/>
  <c r="M43" i="16"/>
  <c r="K14" i="16"/>
  <c r="L14" i="16" s="1"/>
  <c r="I14" i="17"/>
  <c r="I22" i="18"/>
  <c r="I23" i="18"/>
  <c r="K20" i="17"/>
  <c r="N20" i="17" s="1"/>
  <c r="M20" i="17"/>
  <c r="M42" i="17"/>
  <c r="I48" i="18"/>
  <c r="K42" i="17"/>
  <c r="N42" i="17" s="1"/>
  <c r="O42" i="17" s="1"/>
  <c r="K38" i="16"/>
  <c r="L38" i="16" s="1"/>
  <c r="I38" i="17"/>
  <c r="K34" i="16"/>
  <c r="L34" i="16" s="1"/>
  <c r="I34" i="17"/>
  <c r="I66" i="18"/>
  <c r="K60" i="17"/>
  <c r="N60" i="17" s="1"/>
  <c r="M60" i="17"/>
  <c r="I26" i="18"/>
  <c r="K23" i="17"/>
  <c r="N23" i="17" s="1"/>
  <c r="M23" i="17"/>
  <c r="I47" i="18"/>
  <c r="M41" i="17"/>
  <c r="K41" i="17"/>
  <c r="N41" i="17" s="1"/>
  <c r="I43" i="18"/>
  <c r="K37" i="17"/>
  <c r="M37" i="17"/>
  <c r="M46" i="16"/>
  <c r="I46" i="17"/>
  <c r="I58" i="18"/>
  <c r="M52" i="17"/>
  <c r="K52" i="17"/>
  <c r="N52" i="17" s="1"/>
  <c r="I13" i="17"/>
  <c r="I13" i="18" s="1"/>
  <c r="I29" i="17"/>
  <c r="I34" i="18" s="1"/>
  <c r="M29" i="16"/>
  <c r="K29" i="16"/>
  <c r="L29" i="16" s="1"/>
  <c r="N60" i="16"/>
  <c r="K46" i="16"/>
  <c r="N46" i="16" s="1"/>
  <c r="O46" i="16" s="1"/>
  <c r="N36" i="16"/>
  <c r="O36" i="16" s="1"/>
  <c r="M14" i="16"/>
  <c r="F64" i="16"/>
  <c r="H18" i="16"/>
  <c r="M20" i="16"/>
  <c r="K20" i="16"/>
  <c r="C27" i="16"/>
  <c r="H31" i="16"/>
  <c r="M49" i="16"/>
  <c r="K49" i="16"/>
  <c r="C8" i="16"/>
  <c r="H9" i="16"/>
  <c r="N14" i="16"/>
  <c r="O14" i="16" s="1"/>
  <c r="M13" i="16"/>
  <c r="K13" i="16"/>
  <c r="H45" i="16"/>
  <c r="M17" i="16"/>
  <c r="K17" i="16"/>
  <c r="J27" i="16"/>
  <c r="M42" i="16"/>
  <c r="K42" i="16"/>
  <c r="N42" i="16" s="1"/>
  <c r="O42" i="16" s="1"/>
  <c r="K43" i="16"/>
  <c r="M51" i="16"/>
  <c r="K51" i="16"/>
  <c r="J18" i="16"/>
  <c r="K10" i="16"/>
  <c r="N10" i="16" s="1"/>
  <c r="H61" i="16"/>
  <c r="C64" i="16" l="1"/>
  <c r="L55" i="21"/>
  <c r="M55" i="21" s="1"/>
  <c r="N55" i="21" s="1"/>
  <c r="I55" i="22"/>
  <c r="K55" i="21"/>
  <c r="L39" i="16"/>
  <c r="I57" i="19"/>
  <c r="I57" i="21" s="1"/>
  <c r="I57" i="22" s="1"/>
  <c r="I57" i="23" s="1"/>
  <c r="I57" i="24" s="1"/>
  <c r="I58" i="25" s="1"/>
  <c r="I58" i="26" s="1"/>
  <c r="I59" i="27" s="1"/>
  <c r="N34" i="16"/>
  <c r="O34" i="16" s="1"/>
  <c r="L46" i="16"/>
  <c r="N38" i="16"/>
  <c r="O38" i="16" s="1"/>
  <c r="N43" i="16"/>
  <c r="O43" i="16" s="1"/>
  <c r="N40" i="16"/>
  <c r="O40" i="16" s="1"/>
  <c r="L25" i="16"/>
  <c r="M51" i="17"/>
  <c r="L58" i="18"/>
  <c r="M58" i="18" s="1"/>
  <c r="I58" i="19"/>
  <c r="L47" i="18"/>
  <c r="M47" i="18" s="1"/>
  <c r="I47" i="19"/>
  <c r="L48" i="18"/>
  <c r="M48" i="18" s="1"/>
  <c r="N48" i="18" s="1"/>
  <c r="I48" i="19"/>
  <c r="L23" i="18"/>
  <c r="M23" i="18" s="1"/>
  <c r="I23" i="19"/>
  <c r="L41" i="18"/>
  <c r="M41" i="18" s="1"/>
  <c r="I41" i="19"/>
  <c r="L17" i="18"/>
  <c r="M17" i="18" s="1"/>
  <c r="N17" i="18" s="1"/>
  <c r="I17" i="19"/>
  <c r="L55" i="18"/>
  <c r="K55" i="18" s="1"/>
  <c r="I55" i="19"/>
  <c r="L55" i="19" s="1"/>
  <c r="L43" i="18"/>
  <c r="K43" i="18" s="1"/>
  <c r="I43" i="19"/>
  <c r="L22" i="18"/>
  <c r="M22" i="18" s="1"/>
  <c r="I22" i="19"/>
  <c r="L24" i="18"/>
  <c r="M24" i="18" s="1"/>
  <c r="I24" i="19"/>
  <c r="L66" i="18"/>
  <c r="M66" i="18" s="1"/>
  <c r="I66" i="19"/>
  <c r="L29" i="18"/>
  <c r="K29" i="18" s="1"/>
  <c r="I29" i="19"/>
  <c r="L26" i="18"/>
  <c r="M26" i="18" s="1"/>
  <c r="I26" i="19"/>
  <c r="L45" i="18"/>
  <c r="K45" i="18" s="1"/>
  <c r="I45" i="19"/>
  <c r="L30" i="18"/>
  <c r="M30" i="18" s="1"/>
  <c r="I30" i="19"/>
  <c r="L19" i="18"/>
  <c r="M19" i="18" s="1"/>
  <c r="N19" i="18" s="1"/>
  <c r="I19" i="19"/>
  <c r="L57" i="18"/>
  <c r="K57" i="18" s="1"/>
  <c r="K51" i="17"/>
  <c r="L51" i="17" s="1"/>
  <c r="L34" i="18"/>
  <c r="M34" i="18" s="1"/>
  <c r="N34" i="18" s="1"/>
  <c r="I34" i="19"/>
  <c r="L13" i="18"/>
  <c r="I13" i="19"/>
  <c r="M13" i="17"/>
  <c r="K13" i="17"/>
  <c r="L13" i="17" s="1"/>
  <c r="I14" i="18"/>
  <c r="K14" i="17"/>
  <c r="M14" i="17"/>
  <c r="L39" i="17"/>
  <c r="N39" i="17"/>
  <c r="O39" i="17" s="1"/>
  <c r="L16" i="17"/>
  <c r="N16" i="17"/>
  <c r="O16" i="17" s="1"/>
  <c r="N17" i="17"/>
  <c r="O17" i="17" s="1"/>
  <c r="L17" i="17"/>
  <c r="I40" i="18"/>
  <c r="M34" i="17"/>
  <c r="K34" i="17"/>
  <c r="L49" i="17"/>
  <c r="N49" i="17"/>
  <c r="O49" i="17" s="1"/>
  <c r="I46" i="18"/>
  <c r="M40" i="17"/>
  <c r="K40" i="17"/>
  <c r="N37" i="17"/>
  <c r="O37" i="17" s="1"/>
  <c r="L37" i="17"/>
  <c r="N25" i="17"/>
  <c r="O25" i="17" s="1"/>
  <c r="L25" i="17"/>
  <c r="I10" i="18"/>
  <c r="K10" i="17"/>
  <c r="N10" i="17" s="1"/>
  <c r="M10" i="17"/>
  <c r="K46" i="17"/>
  <c r="I52" i="18"/>
  <c r="M46" i="17"/>
  <c r="M38" i="17"/>
  <c r="I44" i="18"/>
  <c r="K38" i="17"/>
  <c r="I42" i="18"/>
  <c r="M36" i="17"/>
  <c r="K36" i="17"/>
  <c r="N29" i="16"/>
  <c r="O29" i="16" s="1"/>
  <c r="K29" i="17"/>
  <c r="M29" i="17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J543" i="15"/>
  <c r="J48" i="16" s="1"/>
  <c r="J602" i="15"/>
  <c r="J54" i="16" s="1"/>
  <c r="J50" i="16" s="1"/>
  <c r="K17" i="18" l="1"/>
  <c r="M29" i="18"/>
  <c r="N29" i="18" s="1"/>
  <c r="M43" i="18"/>
  <c r="N43" i="18" s="1"/>
  <c r="L59" i="27"/>
  <c r="L58" i="27" s="1"/>
  <c r="L72" i="27" s="1"/>
  <c r="L58" i="26"/>
  <c r="K19" i="18"/>
  <c r="I55" i="23"/>
  <c r="L55" i="22"/>
  <c r="M45" i="18"/>
  <c r="N45" i="18" s="1"/>
  <c r="K26" i="18"/>
  <c r="L58" i="25"/>
  <c r="L57" i="24"/>
  <c r="L57" i="23"/>
  <c r="L57" i="22"/>
  <c r="L29" i="19"/>
  <c r="K29" i="19" s="1"/>
  <c r="I29" i="21"/>
  <c r="L17" i="19"/>
  <c r="K17" i="19" s="1"/>
  <c r="I17" i="21"/>
  <c r="L47" i="19"/>
  <c r="M47" i="19" s="1"/>
  <c r="I47" i="21"/>
  <c r="L19" i="19"/>
  <c r="K19" i="19" s="1"/>
  <c r="I19" i="21"/>
  <c r="L45" i="19"/>
  <c r="K45" i="19" s="1"/>
  <c r="I45" i="21"/>
  <c r="L24" i="19"/>
  <c r="M24" i="19" s="1"/>
  <c r="I24" i="21"/>
  <c r="L43" i="19"/>
  <c r="K43" i="19" s="1"/>
  <c r="I43" i="21"/>
  <c r="L23" i="19"/>
  <c r="M23" i="19" s="1"/>
  <c r="I23" i="21"/>
  <c r="L30" i="19"/>
  <c r="M30" i="19" s="1"/>
  <c r="I30" i="21"/>
  <c r="L26" i="19"/>
  <c r="K26" i="19" s="1"/>
  <c r="I26" i="21"/>
  <c r="L66" i="19"/>
  <c r="M66" i="19" s="1"/>
  <c r="I66" i="21"/>
  <c r="L22" i="19"/>
  <c r="M22" i="19" s="1"/>
  <c r="I22" i="21"/>
  <c r="L41" i="19"/>
  <c r="M41" i="19" s="1"/>
  <c r="I41" i="21"/>
  <c r="L48" i="19"/>
  <c r="K48" i="19" s="1"/>
  <c r="I48" i="21"/>
  <c r="L58" i="19"/>
  <c r="M58" i="19" s="1"/>
  <c r="I58" i="21"/>
  <c r="K34" i="18"/>
  <c r="L57" i="19"/>
  <c r="M57" i="19" s="1"/>
  <c r="L13" i="19"/>
  <c r="M13" i="19" s="1"/>
  <c r="N13" i="19" s="1"/>
  <c r="I13" i="21"/>
  <c r="L34" i="19"/>
  <c r="K34" i="19" s="1"/>
  <c r="I34" i="21"/>
  <c r="L57" i="21"/>
  <c r="M57" i="18"/>
  <c r="N57" i="18" s="1"/>
  <c r="K48" i="18"/>
  <c r="N51" i="17"/>
  <c r="O51" i="17" s="1"/>
  <c r="M55" i="18"/>
  <c r="N55" i="18" s="1"/>
  <c r="N13" i="17"/>
  <c r="O13" i="17" s="1"/>
  <c r="H64" i="16"/>
  <c r="M45" i="19"/>
  <c r="N45" i="19" s="1"/>
  <c r="L40" i="18"/>
  <c r="K40" i="18" s="1"/>
  <c r="I40" i="19"/>
  <c r="L46" i="18"/>
  <c r="K46" i="18" s="1"/>
  <c r="I46" i="19"/>
  <c r="L14" i="18"/>
  <c r="K14" i="18" s="1"/>
  <c r="I14" i="19"/>
  <c r="K55" i="19"/>
  <c r="M55" i="19"/>
  <c r="N55" i="19" s="1"/>
  <c r="L44" i="18"/>
  <c r="K44" i="18" s="1"/>
  <c r="I44" i="19"/>
  <c r="L52" i="18"/>
  <c r="K52" i="18" s="1"/>
  <c r="I52" i="19"/>
  <c r="L10" i="18"/>
  <c r="M10" i="18" s="1"/>
  <c r="I10" i="19"/>
  <c r="L42" i="18"/>
  <c r="M42" i="18" s="1"/>
  <c r="N42" i="18" s="1"/>
  <c r="I42" i="19"/>
  <c r="K13" i="18"/>
  <c r="M13" i="18"/>
  <c r="N13" i="18" s="1"/>
  <c r="N34" i="17"/>
  <c r="O34" i="17" s="1"/>
  <c r="L34" i="17"/>
  <c r="N46" i="17"/>
  <c r="O46" i="17" s="1"/>
  <c r="L46" i="17"/>
  <c r="N40" i="17"/>
  <c r="O40" i="17" s="1"/>
  <c r="L40" i="17"/>
  <c r="L38" i="17"/>
  <c r="N38" i="17"/>
  <c r="O38" i="17" s="1"/>
  <c r="M40" i="18"/>
  <c r="N40" i="18" s="1"/>
  <c r="N14" i="17"/>
  <c r="O14" i="17" s="1"/>
  <c r="L14" i="17"/>
  <c r="N36" i="17"/>
  <c r="O36" i="17" s="1"/>
  <c r="L36" i="17"/>
  <c r="L29" i="17"/>
  <c r="N29" i="17"/>
  <c r="O29" i="17" s="1"/>
  <c r="O51" i="16"/>
  <c r="O49" i="16"/>
  <c r="J528" i="15"/>
  <c r="J47" i="16" s="1"/>
  <c r="J45" i="16" s="1"/>
  <c r="J47" i="15"/>
  <c r="J45" i="15" s="1"/>
  <c r="M26" i="19" l="1"/>
  <c r="M17" i="19"/>
  <c r="N17" i="19" s="1"/>
  <c r="M48" i="19"/>
  <c r="N48" i="19" s="1"/>
  <c r="M19" i="19"/>
  <c r="N19" i="19" s="1"/>
  <c r="M43" i="19"/>
  <c r="N43" i="19" s="1"/>
  <c r="M29" i="19"/>
  <c r="N29" i="19" s="1"/>
  <c r="K57" i="19"/>
  <c r="M14" i="18"/>
  <c r="N14" i="18" s="1"/>
  <c r="K59" i="27"/>
  <c r="M59" i="27"/>
  <c r="M58" i="26"/>
  <c r="K58" i="26"/>
  <c r="L58" i="21"/>
  <c r="M58" i="21" s="1"/>
  <c r="I58" i="22"/>
  <c r="L41" i="21"/>
  <c r="M41" i="21" s="1"/>
  <c r="I41" i="22"/>
  <c r="L66" i="21"/>
  <c r="M66" i="21" s="1"/>
  <c r="I66" i="22"/>
  <c r="L30" i="21"/>
  <c r="M30" i="21" s="1"/>
  <c r="I30" i="22"/>
  <c r="L43" i="21"/>
  <c r="I43" i="22"/>
  <c r="L45" i="21"/>
  <c r="M45" i="21" s="1"/>
  <c r="N45" i="21" s="1"/>
  <c r="I45" i="22"/>
  <c r="L47" i="21"/>
  <c r="M47" i="21" s="1"/>
  <c r="I47" i="22"/>
  <c r="L29" i="21"/>
  <c r="K29" i="21" s="1"/>
  <c r="I29" i="22"/>
  <c r="K55" i="22"/>
  <c r="M55" i="22"/>
  <c r="N55" i="22" s="1"/>
  <c r="L55" i="23"/>
  <c r="I55" i="24"/>
  <c r="L48" i="21"/>
  <c r="I48" i="22"/>
  <c r="L22" i="21"/>
  <c r="M22" i="21" s="1"/>
  <c r="I22" i="22"/>
  <c r="L26" i="21"/>
  <c r="I26" i="22"/>
  <c r="L23" i="21"/>
  <c r="M23" i="21" s="1"/>
  <c r="I23" i="22"/>
  <c r="L24" i="21"/>
  <c r="M24" i="21" s="1"/>
  <c r="I24" i="22"/>
  <c r="L19" i="21"/>
  <c r="K19" i="21" s="1"/>
  <c r="I19" i="22"/>
  <c r="K58" i="25"/>
  <c r="M58" i="25"/>
  <c r="J12" i="16"/>
  <c r="J8" i="16" s="1"/>
  <c r="J64" i="16" s="1"/>
  <c r="K57" i="24"/>
  <c r="M57" i="24"/>
  <c r="M57" i="23"/>
  <c r="K57" i="23"/>
  <c r="L13" i="21"/>
  <c r="M13" i="21" s="1"/>
  <c r="N13" i="21" s="1"/>
  <c r="I13" i="22"/>
  <c r="L34" i="21"/>
  <c r="K34" i="21" s="1"/>
  <c r="I34" i="22"/>
  <c r="L17" i="21"/>
  <c r="K17" i="21" s="1"/>
  <c r="I17" i="22"/>
  <c r="M57" i="22"/>
  <c r="K57" i="22"/>
  <c r="K48" i="21"/>
  <c r="M48" i="21"/>
  <c r="N48" i="21" s="1"/>
  <c r="M26" i="21"/>
  <c r="K26" i="21"/>
  <c r="L44" i="19"/>
  <c r="M44" i="19" s="1"/>
  <c r="N44" i="19" s="1"/>
  <c r="I44" i="21"/>
  <c r="L14" i="19"/>
  <c r="M14" i="19" s="1"/>
  <c r="N14" i="19" s="1"/>
  <c r="I14" i="21"/>
  <c r="L40" i="19"/>
  <c r="M40" i="19" s="1"/>
  <c r="N40" i="19" s="1"/>
  <c r="I40" i="21"/>
  <c r="K43" i="21"/>
  <c r="M43" i="21"/>
  <c r="N43" i="21" s="1"/>
  <c r="K45" i="21"/>
  <c r="L52" i="19"/>
  <c r="M52" i="19" s="1"/>
  <c r="N52" i="19" s="1"/>
  <c r="I52" i="21"/>
  <c r="L46" i="19"/>
  <c r="K46" i="19" s="1"/>
  <c r="I46" i="21"/>
  <c r="K13" i="19"/>
  <c r="M34" i="19"/>
  <c r="N34" i="19" s="1"/>
  <c r="L42" i="19"/>
  <c r="K42" i="19" s="1"/>
  <c r="I42" i="21"/>
  <c r="L10" i="19"/>
  <c r="M10" i="19" s="1"/>
  <c r="I10" i="21"/>
  <c r="K57" i="21"/>
  <c r="M57" i="21"/>
  <c r="M44" i="18"/>
  <c r="N44" i="18" s="1"/>
  <c r="K42" i="18"/>
  <c r="M52" i="18"/>
  <c r="N52" i="18" s="1"/>
  <c r="M46" i="18"/>
  <c r="N46" i="18" s="1"/>
  <c r="K14" i="19"/>
  <c r="N57" i="19"/>
  <c r="J43" i="9"/>
  <c r="J59" i="9"/>
  <c r="I59" i="16" s="1"/>
  <c r="I59" i="17" s="1"/>
  <c r="I65" i="18" s="1"/>
  <c r="J58" i="9"/>
  <c r="I58" i="16" s="1"/>
  <c r="I58" i="17" s="1"/>
  <c r="I64" i="18" s="1"/>
  <c r="J57" i="9"/>
  <c r="I57" i="16" s="1"/>
  <c r="I57" i="17" s="1"/>
  <c r="I63" i="18" s="1"/>
  <c r="J56" i="9"/>
  <c r="I56" i="16" s="1"/>
  <c r="I56" i="17" s="1"/>
  <c r="I62" i="18" s="1"/>
  <c r="J55" i="9"/>
  <c r="I55" i="16" s="1"/>
  <c r="I55" i="17" s="1"/>
  <c r="I61" i="18" s="1"/>
  <c r="J53" i="9"/>
  <c r="I53" i="16" s="1"/>
  <c r="I53" i="17" s="1"/>
  <c r="I59" i="18" s="1"/>
  <c r="J33" i="9"/>
  <c r="I33" i="16" s="1"/>
  <c r="I33" i="17" s="1"/>
  <c r="I39" i="18" s="1"/>
  <c r="J32" i="9"/>
  <c r="I32" i="16" s="1"/>
  <c r="I32" i="17" s="1"/>
  <c r="I38" i="18" s="1"/>
  <c r="J31" i="9"/>
  <c r="I31" i="16" s="1"/>
  <c r="I31" i="17" s="1"/>
  <c r="I37" i="18" s="1"/>
  <c r="J30" i="9"/>
  <c r="I30" i="16" s="1"/>
  <c r="I30" i="17" s="1"/>
  <c r="I36" i="18" s="1"/>
  <c r="J28" i="9"/>
  <c r="I28" i="16" s="1"/>
  <c r="I28" i="17" s="1"/>
  <c r="I32" i="18" s="1"/>
  <c r="J24" i="9"/>
  <c r="I24" i="16" s="1"/>
  <c r="I24" i="17" s="1"/>
  <c r="I28" i="18" s="1"/>
  <c r="J15" i="9"/>
  <c r="I15" i="16" s="1"/>
  <c r="I15" i="17" s="1"/>
  <c r="I15" i="18" s="1"/>
  <c r="J19" i="9"/>
  <c r="J12" i="9"/>
  <c r="I12" i="16" s="1"/>
  <c r="I11" i="16"/>
  <c r="I11" i="17" s="1"/>
  <c r="I11" i="18" s="1"/>
  <c r="J9" i="9"/>
  <c r="I9" i="16" s="1"/>
  <c r="I9" i="17" s="1"/>
  <c r="I9" i="18" s="1"/>
  <c r="M44" i="9"/>
  <c r="I43" i="9"/>
  <c r="H44" i="9"/>
  <c r="H43" i="9" s="1"/>
  <c r="D43" i="9"/>
  <c r="E43" i="9"/>
  <c r="F43" i="9"/>
  <c r="G43" i="9"/>
  <c r="C43" i="9"/>
  <c r="C33" i="9"/>
  <c r="C32" i="9"/>
  <c r="C31" i="9"/>
  <c r="C19" i="9"/>
  <c r="C9" i="9"/>
  <c r="M46" i="19" l="1"/>
  <c r="N46" i="19" s="1"/>
  <c r="K40" i="19"/>
  <c r="N59" i="27"/>
  <c r="N58" i="26"/>
  <c r="I19" i="23"/>
  <c r="L19" i="22"/>
  <c r="L55" i="24"/>
  <c r="I56" i="25"/>
  <c r="I45" i="23"/>
  <c r="L45" i="22"/>
  <c r="I30" i="23"/>
  <c r="L30" i="22"/>
  <c r="M30" i="22" s="1"/>
  <c r="M55" i="23"/>
  <c r="N55" i="23" s="1"/>
  <c r="K55" i="23"/>
  <c r="L46" i="21"/>
  <c r="K46" i="21" s="1"/>
  <c r="I46" i="22"/>
  <c r="M29" i="21"/>
  <c r="N29" i="21" s="1"/>
  <c r="M19" i="21"/>
  <c r="N19" i="21" s="1"/>
  <c r="I24" i="23"/>
  <c r="L24" i="22"/>
  <c r="M24" i="22" s="1"/>
  <c r="I26" i="23"/>
  <c r="L26" i="22"/>
  <c r="I48" i="23"/>
  <c r="L48" i="22"/>
  <c r="I47" i="23"/>
  <c r="L47" i="22"/>
  <c r="M47" i="22" s="1"/>
  <c r="I43" i="23"/>
  <c r="L43" i="22"/>
  <c r="I66" i="23"/>
  <c r="L66" i="22"/>
  <c r="M66" i="22" s="1"/>
  <c r="I58" i="23"/>
  <c r="L58" i="22"/>
  <c r="M58" i="22" s="1"/>
  <c r="L52" i="21"/>
  <c r="M52" i="21" s="1"/>
  <c r="N52" i="21" s="1"/>
  <c r="I52" i="22"/>
  <c r="L40" i="21"/>
  <c r="K40" i="21" s="1"/>
  <c r="I40" i="22"/>
  <c r="I23" i="23"/>
  <c r="L23" i="22"/>
  <c r="M23" i="22" s="1"/>
  <c r="I22" i="23"/>
  <c r="L22" i="22"/>
  <c r="M22" i="22" s="1"/>
  <c r="I29" i="23"/>
  <c r="L29" i="22"/>
  <c r="I41" i="23"/>
  <c r="L41" i="22"/>
  <c r="M41" i="22" s="1"/>
  <c r="K52" i="19"/>
  <c r="K13" i="21"/>
  <c r="I12" i="17"/>
  <c r="I12" i="18" s="1"/>
  <c r="I12" i="19" s="1"/>
  <c r="N58" i="25"/>
  <c r="N57" i="24"/>
  <c r="K44" i="19"/>
  <c r="L17" i="22"/>
  <c r="M17" i="22" s="1"/>
  <c r="N17" i="22" s="1"/>
  <c r="I17" i="23"/>
  <c r="L13" i="22"/>
  <c r="M13" i="22" s="1"/>
  <c r="N13" i="22" s="1"/>
  <c r="I13" i="23"/>
  <c r="N57" i="23"/>
  <c r="L34" i="22"/>
  <c r="M34" i="22" s="1"/>
  <c r="N34" i="22" s="1"/>
  <c r="I34" i="23"/>
  <c r="I34" i="24" s="1"/>
  <c r="M17" i="21"/>
  <c r="N17" i="21" s="1"/>
  <c r="M34" i="21"/>
  <c r="N34" i="21" s="1"/>
  <c r="L10" i="21"/>
  <c r="M10" i="21" s="1"/>
  <c r="I10" i="22"/>
  <c r="L44" i="21"/>
  <c r="K44" i="21" s="1"/>
  <c r="I44" i="22"/>
  <c r="N57" i="22"/>
  <c r="L42" i="21"/>
  <c r="M42" i="21" s="1"/>
  <c r="N42" i="21" s="1"/>
  <c r="I42" i="22"/>
  <c r="L14" i="21"/>
  <c r="M14" i="21" s="1"/>
  <c r="N14" i="21" s="1"/>
  <c r="I14" i="22"/>
  <c r="K52" i="21"/>
  <c r="M42" i="19"/>
  <c r="N42" i="19" s="1"/>
  <c r="I59" i="19"/>
  <c r="I9" i="19"/>
  <c r="I9" i="21" s="1"/>
  <c r="I28" i="19"/>
  <c r="I28" i="21" s="1"/>
  <c r="I28" i="22" s="1"/>
  <c r="I28" i="23" s="1"/>
  <c r="I28" i="24" s="1"/>
  <c r="I28" i="25" s="1"/>
  <c r="I28" i="26" s="1"/>
  <c r="I28" i="27" s="1"/>
  <c r="N57" i="21"/>
  <c r="I32" i="19"/>
  <c r="I32" i="21" s="1"/>
  <c r="I32" i="22" s="1"/>
  <c r="I32" i="23" s="1"/>
  <c r="K43" i="9"/>
  <c r="N43" i="9" s="1"/>
  <c r="O43" i="9" s="1"/>
  <c r="L64" i="18"/>
  <c r="K64" i="18" s="1"/>
  <c r="I64" i="19"/>
  <c r="L15" i="18"/>
  <c r="K15" i="18" s="1"/>
  <c r="I15" i="19"/>
  <c r="L61" i="18"/>
  <c r="K61" i="18" s="1"/>
  <c r="I61" i="19"/>
  <c r="L11" i="18"/>
  <c r="K11" i="18" s="1"/>
  <c r="I11" i="19"/>
  <c r="L38" i="18"/>
  <c r="K38" i="18" s="1"/>
  <c r="I38" i="19"/>
  <c r="L62" i="18"/>
  <c r="K62" i="18" s="1"/>
  <c r="I62" i="19"/>
  <c r="L36" i="18"/>
  <c r="K36" i="18" s="1"/>
  <c r="I36" i="19"/>
  <c r="L37" i="18"/>
  <c r="M37" i="18" s="1"/>
  <c r="N37" i="18" s="1"/>
  <c r="I37" i="19"/>
  <c r="L65" i="18"/>
  <c r="M65" i="18" s="1"/>
  <c r="N65" i="18" s="1"/>
  <c r="I65" i="19"/>
  <c r="L39" i="18"/>
  <c r="K39" i="18" s="1"/>
  <c r="I39" i="19"/>
  <c r="L63" i="18"/>
  <c r="K63" i="18" s="1"/>
  <c r="I63" i="19"/>
  <c r="N44" i="9"/>
  <c r="O44" i="9" s="1"/>
  <c r="L28" i="18"/>
  <c r="I25" i="18"/>
  <c r="L25" i="18" s="1"/>
  <c r="K25" i="18" s="1"/>
  <c r="L32" i="18"/>
  <c r="I31" i="18"/>
  <c r="L31" i="18" s="1"/>
  <c r="K31" i="18" s="1"/>
  <c r="L59" i="18"/>
  <c r="L9" i="18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I21" i="18" s="1"/>
  <c r="K30" i="16"/>
  <c r="M30" i="16"/>
  <c r="M55" i="16"/>
  <c r="K55" i="16"/>
  <c r="K59" i="16"/>
  <c r="M59" i="16"/>
  <c r="K31" i="16"/>
  <c r="M31" i="16"/>
  <c r="M43" i="9"/>
  <c r="J710" i="15"/>
  <c r="J709" i="15" s="1"/>
  <c r="G710" i="15"/>
  <c r="H710" i="15"/>
  <c r="F710" i="15"/>
  <c r="F700" i="15"/>
  <c r="H700" i="15"/>
  <c r="G700" i="15"/>
  <c r="F683" i="15"/>
  <c r="G663" i="15"/>
  <c r="H663" i="15"/>
  <c r="F663" i="15"/>
  <c r="H648" i="15"/>
  <c r="F648" i="15"/>
  <c r="G632" i="15"/>
  <c r="H632" i="15"/>
  <c r="F632" i="15"/>
  <c r="G616" i="15"/>
  <c r="H616" i="15"/>
  <c r="F616" i="15"/>
  <c r="J601" i="15"/>
  <c r="J600" i="15" s="1"/>
  <c r="H600" i="15"/>
  <c r="F600" i="15"/>
  <c r="G584" i="15"/>
  <c r="H584" i="15"/>
  <c r="F584" i="15"/>
  <c r="G567" i="15"/>
  <c r="H567" i="15"/>
  <c r="F67" i="13" s="1"/>
  <c r="F567" i="15"/>
  <c r="J542" i="15"/>
  <c r="J48" i="9" s="1"/>
  <c r="I48" i="16" s="1"/>
  <c r="I48" i="17" s="1"/>
  <c r="J527" i="15"/>
  <c r="G566" i="15" l="1"/>
  <c r="L28" i="27"/>
  <c r="M12" i="17"/>
  <c r="K12" i="17"/>
  <c r="K8" i="17" s="1"/>
  <c r="L8" i="17" s="1"/>
  <c r="I8" i="18"/>
  <c r="I8" i="17"/>
  <c r="M8" i="17" s="1"/>
  <c r="L12" i="18"/>
  <c r="M12" i="18" s="1"/>
  <c r="N12" i="18" s="1"/>
  <c r="L56" i="25"/>
  <c r="K56" i="25" s="1"/>
  <c r="I56" i="26"/>
  <c r="L28" i="26"/>
  <c r="I58" i="24"/>
  <c r="L58" i="23"/>
  <c r="M58" i="23" s="1"/>
  <c r="I40" i="23"/>
  <c r="L40" i="22"/>
  <c r="M40" i="21"/>
  <c r="N40" i="21" s="1"/>
  <c r="M46" i="21"/>
  <c r="N46" i="21" s="1"/>
  <c r="K29" i="22"/>
  <c r="M29" i="22"/>
  <c r="N29" i="22" s="1"/>
  <c r="I52" i="23"/>
  <c r="L52" i="22"/>
  <c r="K26" i="22"/>
  <c r="M26" i="22"/>
  <c r="K45" i="22"/>
  <c r="M45" i="22"/>
  <c r="N45" i="22" s="1"/>
  <c r="M19" i="22"/>
  <c r="N19" i="22" s="1"/>
  <c r="K19" i="22"/>
  <c r="K43" i="22"/>
  <c r="M43" i="22"/>
  <c r="N43" i="22" s="1"/>
  <c r="K48" i="22"/>
  <c r="M48" i="22"/>
  <c r="N48" i="22" s="1"/>
  <c r="I46" i="23"/>
  <c r="L46" i="22"/>
  <c r="I41" i="24"/>
  <c r="L41" i="23"/>
  <c r="M41" i="23" s="1"/>
  <c r="I22" i="24"/>
  <c r="L22" i="23"/>
  <c r="M22" i="23" s="1"/>
  <c r="N22" i="23" s="1"/>
  <c r="I43" i="24"/>
  <c r="L43" i="23"/>
  <c r="I48" i="24"/>
  <c r="L48" i="23"/>
  <c r="I24" i="24"/>
  <c r="L24" i="23"/>
  <c r="M24" i="23" s="1"/>
  <c r="L30" i="23"/>
  <c r="M30" i="23" s="1"/>
  <c r="I30" i="24"/>
  <c r="K55" i="24"/>
  <c r="M55" i="24"/>
  <c r="N55" i="24" s="1"/>
  <c r="J47" i="9"/>
  <c r="I47" i="16" s="1"/>
  <c r="I47" i="17" s="1"/>
  <c r="K47" i="17" s="1"/>
  <c r="L47" i="17" s="1"/>
  <c r="J526" i="15"/>
  <c r="I29" i="24"/>
  <c r="L29" i="23"/>
  <c r="I23" i="24"/>
  <c r="L23" i="23"/>
  <c r="M23" i="23" s="1"/>
  <c r="I66" i="24"/>
  <c r="L66" i="23"/>
  <c r="M66" i="23" s="1"/>
  <c r="I47" i="24"/>
  <c r="L47" i="23"/>
  <c r="M47" i="23" s="1"/>
  <c r="I26" i="24"/>
  <c r="L26" i="23"/>
  <c r="I45" i="24"/>
  <c r="L45" i="23"/>
  <c r="L19" i="23"/>
  <c r="I19" i="24"/>
  <c r="L28" i="25"/>
  <c r="L34" i="24"/>
  <c r="K34" i="24" s="1"/>
  <c r="I34" i="25"/>
  <c r="I34" i="26" s="1"/>
  <c r="J54" i="9"/>
  <c r="I54" i="16" s="1"/>
  <c r="I54" i="17" s="1"/>
  <c r="K54" i="17" s="1"/>
  <c r="L54" i="17" s="1"/>
  <c r="L28" i="24"/>
  <c r="L13" i="23"/>
  <c r="M13" i="23" s="1"/>
  <c r="N13" i="23" s="1"/>
  <c r="I13" i="24"/>
  <c r="L32" i="23"/>
  <c r="K32" i="23" s="1"/>
  <c r="I32" i="24"/>
  <c r="I32" i="25" s="1"/>
  <c r="L17" i="23"/>
  <c r="K17" i="23" s="1"/>
  <c r="I17" i="24"/>
  <c r="K34" i="22"/>
  <c r="K17" i="22"/>
  <c r="K13" i="22"/>
  <c r="M44" i="21"/>
  <c r="N44" i="21" s="1"/>
  <c r="L14" i="22"/>
  <c r="M14" i="22" s="1"/>
  <c r="N14" i="22" s="1"/>
  <c r="I14" i="23"/>
  <c r="L28" i="23"/>
  <c r="I25" i="23"/>
  <c r="L25" i="23" s="1"/>
  <c r="K25" i="23" s="1"/>
  <c r="L44" i="22"/>
  <c r="K44" i="22" s="1"/>
  <c r="I44" i="23"/>
  <c r="L42" i="22"/>
  <c r="M42" i="22" s="1"/>
  <c r="N42" i="22" s="1"/>
  <c r="I42" i="23"/>
  <c r="L10" i="22"/>
  <c r="M10" i="22" s="1"/>
  <c r="I10" i="23"/>
  <c r="L34" i="23"/>
  <c r="K14" i="21"/>
  <c r="K42" i="21"/>
  <c r="L9" i="21"/>
  <c r="K9" i="21" s="1"/>
  <c r="I9" i="22"/>
  <c r="I9" i="23" s="1"/>
  <c r="I9" i="24" s="1"/>
  <c r="I9" i="25" s="1"/>
  <c r="I9" i="26" s="1"/>
  <c r="I9" i="27" s="1"/>
  <c r="L9" i="27" s="1"/>
  <c r="L28" i="22"/>
  <c r="I25" i="22"/>
  <c r="L25" i="22" s="1"/>
  <c r="K25" i="22" s="1"/>
  <c r="L32" i="22"/>
  <c r="L28" i="19"/>
  <c r="K28" i="19" s="1"/>
  <c r="M61" i="18"/>
  <c r="N61" i="18" s="1"/>
  <c r="L32" i="19"/>
  <c r="M32" i="19" s="1"/>
  <c r="I25" i="19"/>
  <c r="L25" i="19" s="1"/>
  <c r="K25" i="19" s="1"/>
  <c r="L9" i="19"/>
  <c r="K9" i="19" s="1"/>
  <c r="L65" i="19"/>
  <c r="M65" i="19" s="1"/>
  <c r="N65" i="19" s="1"/>
  <c r="I65" i="21"/>
  <c r="L59" i="19"/>
  <c r="K59" i="19" s="1"/>
  <c r="I59" i="21"/>
  <c r="L63" i="19"/>
  <c r="K63" i="19" s="1"/>
  <c r="I63" i="21"/>
  <c r="L62" i="19"/>
  <c r="M62" i="19" s="1"/>
  <c r="N62" i="19" s="1"/>
  <c r="I62" i="21"/>
  <c r="L61" i="19"/>
  <c r="K61" i="19" s="1"/>
  <c r="I61" i="21"/>
  <c r="L64" i="19"/>
  <c r="M64" i="19" s="1"/>
  <c r="N64" i="19" s="1"/>
  <c r="I64" i="21"/>
  <c r="L12" i="19"/>
  <c r="K12" i="19" s="1"/>
  <c r="I12" i="21"/>
  <c r="L39" i="19"/>
  <c r="M39" i="19" s="1"/>
  <c r="I39" i="21"/>
  <c r="L37" i="19"/>
  <c r="K37" i="19" s="1"/>
  <c r="I37" i="21"/>
  <c r="L36" i="19"/>
  <c r="K36" i="19" s="1"/>
  <c r="I36" i="21"/>
  <c r="L38" i="19"/>
  <c r="K38" i="19" s="1"/>
  <c r="I38" i="21"/>
  <c r="L11" i="19"/>
  <c r="K11" i="19" s="1"/>
  <c r="I11" i="21"/>
  <c r="L15" i="19"/>
  <c r="K15" i="19" s="1"/>
  <c r="I15" i="21"/>
  <c r="I21" i="19"/>
  <c r="I21" i="21" s="1"/>
  <c r="I21" i="22" s="1"/>
  <c r="I21" i="23" s="1"/>
  <c r="I21" i="24" s="1"/>
  <c r="I21" i="25" s="1"/>
  <c r="I21" i="26" s="1"/>
  <c r="I21" i="27" s="1"/>
  <c r="L32" i="21"/>
  <c r="L28" i="21"/>
  <c r="I25" i="21"/>
  <c r="M39" i="18"/>
  <c r="M64" i="18"/>
  <c r="N64" i="18" s="1"/>
  <c r="K37" i="18"/>
  <c r="M15" i="18"/>
  <c r="N15" i="18" s="1"/>
  <c r="M38" i="18"/>
  <c r="N38" i="18" s="1"/>
  <c r="M36" i="18"/>
  <c r="N36" i="18" s="1"/>
  <c r="M11" i="18"/>
  <c r="N11" i="18" s="1"/>
  <c r="K65" i="18"/>
  <c r="I31" i="19"/>
  <c r="L31" i="19" s="1"/>
  <c r="K31" i="19" s="1"/>
  <c r="I8" i="19"/>
  <c r="L8" i="19" s="1"/>
  <c r="M63" i="18"/>
  <c r="N63" i="18" s="1"/>
  <c r="M62" i="18"/>
  <c r="N62" i="18" s="1"/>
  <c r="J700" i="15"/>
  <c r="I20" i="18"/>
  <c r="L20" i="18" s="1"/>
  <c r="K20" i="18" s="1"/>
  <c r="L21" i="18"/>
  <c r="K9" i="18"/>
  <c r="M9" i="18"/>
  <c r="K32" i="18"/>
  <c r="M32" i="18"/>
  <c r="L8" i="18"/>
  <c r="K48" i="17"/>
  <c r="L48" i="17" s="1"/>
  <c r="I54" i="18"/>
  <c r="K59" i="18"/>
  <c r="M59" i="18"/>
  <c r="M28" i="18"/>
  <c r="K28" i="18"/>
  <c r="M48" i="16"/>
  <c r="M48" i="17"/>
  <c r="K48" i="16"/>
  <c r="L53" i="17"/>
  <c r="N53" i="17"/>
  <c r="L15" i="17"/>
  <c r="N15" i="17"/>
  <c r="O15" i="17" s="1"/>
  <c r="N59" i="17"/>
  <c r="O59" i="17" s="1"/>
  <c r="L59" i="17"/>
  <c r="L28" i="17"/>
  <c r="K27" i="17"/>
  <c r="L27" i="17" s="1"/>
  <c r="N28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N55" i="16"/>
  <c r="O55" i="16" s="1"/>
  <c r="L55" i="16"/>
  <c r="M19" i="16"/>
  <c r="K19" i="16"/>
  <c r="I18" i="16"/>
  <c r="M18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G559" i="15"/>
  <c r="H559" i="15"/>
  <c r="F559" i="15"/>
  <c r="J541" i="15"/>
  <c r="G541" i="15"/>
  <c r="H541" i="15"/>
  <c r="F541" i="15"/>
  <c r="G526" i="15"/>
  <c r="H526" i="15"/>
  <c r="F526" i="15"/>
  <c r="G516" i="15"/>
  <c r="H516" i="15"/>
  <c r="F516" i="15"/>
  <c r="M56" i="25" l="1"/>
  <c r="N56" i="25" s="1"/>
  <c r="L12" i="17"/>
  <c r="N12" i="17"/>
  <c r="O12" i="17" s="1"/>
  <c r="L34" i="26"/>
  <c r="K34" i="26" s="1"/>
  <c r="I35" i="27"/>
  <c r="L35" i="27" s="1"/>
  <c r="K9" i="27"/>
  <c r="L21" i="27"/>
  <c r="L56" i="26"/>
  <c r="K56" i="26" s="1"/>
  <c r="I57" i="27"/>
  <c r="L57" i="27" s="1"/>
  <c r="K28" i="27"/>
  <c r="M28" i="27"/>
  <c r="K47" i="16"/>
  <c r="N47" i="16" s="1"/>
  <c r="O47" i="16" s="1"/>
  <c r="M54" i="17"/>
  <c r="I50" i="17"/>
  <c r="M50" i="17" s="1"/>
  <c r="I50" i="16"/>
  <c r="M50" i="16" s="1"/>
  <c r="I60" i="18"/>
  <c r="L60" i="18" s="1"/>
  <c r="L56" i="18" s="1"/>
  <c r="M54" i="16"/>
  <c r="K12" i="18"/>
  <c r="L9" i="26"/>
  <c r="L21" i="26"/>
  <c r="L32" i="25"/>
  <c r="M32" i="25" s="1"/>
  <c r="N32" i="25" s="1"/>
  <c r="I32" i="26"/>
  <c r="I33" i="27" s="1"/>
  <c r="K28" i="26"/>
  <c r="M28" i="26"/>
  <c r="K45" i="23"/>
  <c r="M45" i="23"/>
  <c r="N45" i="23" s="1"/>
  <c r="M52" i="22"/>
  <c r="N52" i="22" s="1"/>
  <c r="K52" i="22"/>
  <c r="K40" i="22"/>
  <c r="M40" i="22"/>
  <c r="N40" i="22" s="1"/>
  <c r="I46" i="25"/>
  <c r="L45" i="24"/>
  <c r="I48" i="25"/>
  <c r="L47" i="24"/>
  <c r="M47" i="24" s="1"/>
  <c r="I23" i="25"/>
  <c r="L23" i="24"/>
  <c r="M23" i="24" s="1"/>
  <c r="L48" i="24"/>
  <c r="I49" i="25"/>
  <c r="I22" i="25"/>
  <c r="L22" i="24"/>
  <c r="M22" i="24" s="1"/>
  <c r="N22" i="24" s="1"/>
  <c r="I46" i="24"/>
  <c r="L46" i="23"/>
  <c r="I52" i="24"/>
  <c r="L52" i="23"/>
  <c r="I40" i="24"/>
  <c r="L40" i="23"/>
  <c r="M47" i="16"/>
  <c r="L19" i="24"/>
  <c r="I19" i="25"/>
  <c r="K26" i="23"/>
  <c r="M26" i="23"/>
  <c r="K29" i="23"/>
  <c r="M29" i="23"/>
  <c r="N29" i="23" s="1"/>
  <c r="K43" i="23"/>
  <c r="M43" i="23"/>
  <c r="N43" i="23" s="1"/>
  <c r="I30" i="25"/>
  <c r="L30" i="24"/>
  <c r="M30" i="24" s="1"/>
  <c r="K48" i="23"/>
  <c r="M48" i="23"/>
  <c r="N48" i="23" s="1"/>
  <c r="K46" i="22"/>
  <c r="M46" i="22"/>
  <c r="N46" i="22" s="1"/>
  <c r="I45" i="16"/>
  <c r="M45" i="16" s="1"/>
  <c r="I45" i="17"/>
  <c r="M45" i="17" s="1"/>
  <c r="I53" i="18"/>
  <c r="I51" i="18" s="1"/>
  <c r="M47" i="17"/>
  <c r="K54" i="16"/>
  <c r="L54" i="16" s="1"/>
  <c r="I25" i="24"/>
  <c r="L25" i="24" s="1"/>
  <c r="K25" i="24" s="1"/>
  <c r="K19" i="23"/>
  <c r="M19" i="23"/>
  <c r="N19" i="23" s="1"/>
  <c r="I26" i="25"/>
  <c r="I26" i="26" s="1"/>
  <c r="L26" i="24"/>
  <c r="I67" i="25"/>
  <c r="L66" i="24"/>
  <c r="M66" i="24" s="1"/>
  <c r="I29" i="25"/>
  <c r="L29" i="24"/>
  <c r="I24" i="25"/>
  <c r="L24" i="24"/>
  <c r="M24" i="24" s="1"/>
  <c r="I43" i="25"/>
  <c r="L43" i="24"/>
  <c r="I41" i="25"/>
  <c r="L41" i="24"/>
  <c r="M41" i="24" s="1"/>
  <c r="I59" i="25"/>
  <c r="L58" i="24"/>
  <c r="M58" i="24" s="1"/>
  <c r="M34" i="24"/>
  <c r="N34" i="24" s="1"/>
  <c r="L17" i="24"/>
  <c r="K17" i="24" s="1"/>
  <c r="I17" i="25"/>
  <c r="L9" i="25"/>
  <c r="L21" i="25"/>
  <c r="L13" i="24"/>
  <c r="K13" i="24" s="1"/>
  <c r="I13" i="25"/>
  <c r="M28" i="25"/>
  <c r="K28" i="25"/>
  <c r="L34" i="25"/>
  <c r="M17" i="23"/>
  <c r="N17" i="23" s="1"/>
  <c r="K42" i="22"/>
  <c r="M32" i="23"/>
  <c r="N32" i="23" s="1"/>
  <c r="K13" i="23"/>
  <c r="L42" i="23"/>
  <c r="K42" i="23" s="1"/>
  <c r="I42" i="24"/>
  <c r="L14" i="23"/>
  <c r="M14" i="23" s="1"/>
  <c r="N14" i="23" s="1"/>
  <c r="I14" i="24"/>
  <c r="L32" i="24"/>
  <c r="I20" i="24"/>
  <c r="L20" i="24" s="1"/>
  <c r="K20" i="24" s="1"/>
  <c r="L21" i="24"/>
  <c r="L9" i="24"/>
  <c r="L10" i="23"/>
  <c r="M10" i="23" s="1"/>
  <c r="I10" i="24"/>
  <c r="L44" i="23"/>
  <c r="K44" i="23" s="1"/>
  <c r="I44" i="24"/>
  <c r="M28" i="24"/>
  <c r="K28" i="24"/>
  <c r="M9" i="21"/>
  <c r="N9" i="21" s="1"/>
  <c r="K14" i="22"/>
  <c r="M28" i="19"/>
  <c r="N28" i="19" s="1"/>
  <c r="M44" i="22"/>
  <c r="N44" i="22" s="1"/>
  <c r="M63" i="19"/>
  <c r="N63" i="19" s="1"/>
  <c r="K65" i="19"/>
  <c r="I20" i="23"/>
  <c r="L20" i="23" s="1"/>
  <c r="K20" i="23" s="1"/>
  <c r="L21" i="23"/>
  <c r="M38" i="19"/>
  <c r="N38" i="19" s="1"/>
  <c r="L9" i="23"/>
  <c r="K28" i="23"/>
  <c r="M28" i="23"/>
  <c r="K34" i="23"/>
  <c r="M34" i="23"/>
  <c r="M37" i="19"/>
  <c r="N37" i="19" s="1"/>
  <c r="M61" i="19"/>
  <c r="N61" i="19" s="1"/>
  <c r="M12" i="19"/>
  <c r="N12" i="19" s="1"/>
  <c r="K32" i="19"/>
  <c r="M15" i="19"/>
  <c r="N15" i="19" s="1"/>
  <c r="L21" i="22"/>
  <c r="I20" i="22"/>
  <c r="L20" i="22" s="1"/>
  <c r="K20" i="22" s="1"/>
  <c r="K62" i="19"/>
  <c r="L15" i="21"/>
  <c r="K15" i="21" s="1"/>
  <c r="I15" i="22"/>
  <c r="L38" i="21"/>
  <c r="K38" i="21" s="1"/>
  <c r="I38" i="22"/>
  <c r="L37" i="21"/>
  <c r="K37" i="21" s="1"/>
  <c r="I37" i="22"/>
  <c r="L12" i="21"/>
  <c r="K12" i="21" s="1"/>
  <c r="I12" i="22"/>
  <c r="L61" i="21"/>
  <c r="K61" i="21" s="1"/>
  <c r="I61" i="22"/>
  <c r="L63" i="21"/>
  <c r="M63" i="21" s="1"/>
  <c r="N63" i="21" s="1"/>
  <c r="I63" i="22"/>
  <c r="L65" i="21"/>
  <c r="K65" i="21" s="1"/>
  <c r="I65" i="22"/>
  <c r="K28" i="22"/>
  <c r="M28" i="22"/>
  <c r="L9" i="22"/>
  <c r="L11" i="21"/>
  <c r="M11" i="21" s="1"/>
  <c r="N11" i="21" s="1"/>
  <c r="I11" i="22"/>
  <c r="L36" i="21"/>
  <c r="K36" i="21" s="1"/>
  <c r="I36" i="22"/>
  <c r="I36" i="23" s="1"/>
  <c r="I36" i="24" s="1"/>
  <c r="L39" i="21"/>
  <c r="K39" i="21" s="1"/>
  <c r="I39" i="22"/>
  <c r="L64" i="21"/>
  <c r="K64" i="21" s="1"/>
  <c r="I64" i="22"/>
  <c r="L62" i="21"/>
  <c r="M62" i="21" s="1"/>
  <c r="N62" i="21" s="1"/>
  <c r="I62" i="22"/>
  <c r="L59" i="21"/>
  <c r="K59" i="21" s="1"/>
  <c r="I59" i="22"/>
  <c r="I59" i="23" s="1"/>
  <c r="I59" i="24" s="1"/>
  <c r="I60" i="25" s="1"/>
  <c r="I60" i="26" s="1"/>
  <c r="I61" i="27" s="1"/>
  <c r="M32" i="22"/>
  <c r="K32" i="22"/>
  <c r="M36" i="19"/>
  <c r="N36" i="19" s="1"/>
  <c r="M9" i="19"/>
  <c r="M11" i="19"/>
  <c r="N11" i="19" s="1"/>
  <c r="K64" i="19"/>
  <c r="K39" i="19"/>
  <c r="I20" i="19"/>
  <c r="L20" i="19" s="1"/>
  <c r="K20" i="19" s="1"/>
  <c r="M59" i="19"/>
  <c r="N59" i="19" s="1"/>
  <c r="I8" i="21"/>
  <c r="L8" i="21" s="1"/>
  <c r="K8" i="21" s="1"/>
  <c r="L21" i="19"/>
  <c r="M21" i="19" s="1"/>
  <c r="I31" i="21"/>
  <c r="L31" i="21" s="1"/>
  <c r="K31" i="21" s="1"/>
  <c r="K32" i="21"/>
  <c r="M32" i="21"/>
  <c r="L25" i="21"/>
  <c r="K25" i="21" s="1"/>
  <c r="L21" i="21"/>
  <c r="I20" i="21"/>
  <c r="L20" i="21" s="1"/>
  <c r="K20" i="21" s="1"/>
  <c r="K28" i="21"/>
  <c r="M28" i="21"/>
  <c r="L54" i="18"/>
  <c r="M54" i="18" s="1"/>
  <c r="N54" i="18" s="1"/>
  <c r="I54" i="19"/>
  <c r="K8" i="19"/>
  <c r="K45" i="17"/>
  <c r="L45" i="17" s="1"/>
  <c r="N32" i="19"/>
  <c r="N47" i="17"/>
  <c r="O47" i="17" s="1"/>
  <c r="N48" i="17"/>
  <c r="O48" i="17" s="1"/>
  <c r="N54" i="17"/>
  <c r="O54" i="17" s="1"/>
  <c r="N59" i="18"/>
  <c r="K8" i="18"/>
  <c r="M8" i="18"/>
  <c r="N9" i="18"/>
  <c r="K21" i="18"/>
  <c r="M21" i="18"/>
  <c r="M31" i="18"/>
  <c r="N31" i="18" s="1"/>
  <c r="N32" i="18"/>
  <c r="M25" i="18"/>
  <c r="N25" i="18" s="1"/>
  <c r="N28" i="18"/>
  <c r="N48" i="16"/>
  <c r="O48" i="16" s="1"/>
  <c r="L48" i="16"/>
  <c r="O24" i="17"/>
  <c r="N22" i="17"/>
  <c r="O22" i="17" s="1"/>
  <c r="K18" i="17"/>
  <c r="L18" i="17" s="1"/>
  <c r="N19" i="17"/>
  <c r="L19" i="17"/>
  <c r="N27" i="17"/>
  <c r="O27" i="17" s="1"/>
  <c r="O28" i="17"/>
  <c r="O9" i="17"/>
  <c r="O53" i="17"/>
  <c r="O24" i="16"/>
  <c r="N22" i="16"/>
  <c r="O22" i="16" s="1"/>
  <c r="O53" i="16"/>
  <c r="N27" i="16"/>
  <c r="O27" i="16" s="1"/>
  <c r="O28" i="16"/>
  <c r="O9" i="16"/>
  <c r="N8" i="16"/>
  <c r="N19" i="16"/>
  <c r="L19" i="16"/>
  <c r="K18" i="16"/>
  <c r="L18" i="16" s="1"/>
  <c r="H131" i="15"/>
  <c r="G131" i="15"/>
  <c r="M34" i="26" l="1"/>
  <c r="N34" i="26" s="1"/>
  <c r="L23" i="25"/>
  <c r="M23" i="25" s="1"/>
  <c r="I23" i="26"/>
  <c r="L43" i="25"/>
  <c r="K43" i="25" s="1"/>
  <c r="I43" i="26"/>
  <c r="L29" i="25"/>
  <c r="I29" i="26"/>
  <c r="L48" i="25"/>
  <c r="M48" i="25" s="1"/>
  <c r="I48" i="26"/>
  <c r="L22" i="25"/>
  <c r="M22" i="25" s="1"/>
  <c r="N22" i="25" s="1"/>
  <c r="I22" i="26"/>
  <c r="L46" i="25"/>
  <c r="K46" i="25" s="1"/>
  <c r="I46" i="26"/>
  <c r="L59" i="25"/>
  <c r="M59" i="25" s="1"/>
  <c r="I59" i="26"/>
  <c r="I26" i="27"/>
  <c r="L26" i="26"/>
  <c r="M26" i="26" s="1"/>
  <c r="L49" i="25"/>
  <c r="I49" i="26"/>
  <c r="L41" i="25"/>
  <c r="M41" i="25" s="1"/>
  <c r="I41" i="26"/>
  <c r="L24" i="25"/>
  <c r="M24" i="25" s="1"/>
  <c r="I24" i="26"/>
  <c r="L67" i="25"/>
  <c r="M67" i="25" s="1"/>
  <c r="I67" i="26"/>
  <c r="L30" i="25"/>
  <c r="M30" i="25" s="1"/>
  <c r="I30" i="26"/>
  <c r="N8" i="17"/>
  <c r="O8" i="17" s="1"/>
  <c r="K32" i="25"/>
  <c r="I56" i="18"/>
  <c r="I70" i="18" s="1"/>
  <c r="I60" i="19"/>
  <c r="I56" i="19" s="1"/>
  <c r="K45" i="16"/>
  <c r="L45" i="16" s="1"/>
  <c r="M56" i="26"/>
  <c r="N56" i="26" s="1"/>
  <c r="L47" i="16"/>
  <c r="L61" i="27"/>
  <c r="K57" i="27"/>
  <c r="M57" i="27"/>
  <c r="N57" i="27" s="1"/>
  <c r="N9" i="27"/>
  <c r="L33" i="27"/>
  <c r="N28" i="27"/>
  <c r="K35" i="27"/>
  <c r="M35" i="27"/>
  <c r="N35" i="27" s="1"/>
  <c r="K21" i="27"/>
  <c r="M21" i="27"/>
  <c r="M44" i="23"/>
  <c r="N44" i="23" s="1"/>
  <c r="M17" i="24"/>
  <c r="N17" i="24" s="1"/>
  <c r="K50" i="17"/>
  <c r="L50" i="17" s="1"/>
  <c r="M64" i="17"/>
  <c r="I64" i="16"/>
  <c r="K50" i="16"/>
  <c r="L50" i="16" s="1"/>
  <c r="M64" i="16"/>
  <c r="N54" i="16"/>
  <c r="O54" i="16" s="1"/>
  <c r="N28" i="26"/>
  <c r="L17" i="25"/>
  <c r="K17" i="25" s="1"/>
  <c r="I17" i="26"/>
  <c r="K21" i="26"/>
  <c r="M21" i="26"/>
  <c r="L60" i="26"/>
  <c r="L19" i="25"/>
  <c r="M19" i="25" s="1"/>
  <c r="N19" i="25" s="1"/>
  <c r="I19" i="26"/>
  <c r="L32" i="26"/>
  <c r="L13" i="25"/>
  <c r="M13" i="25" s="1"/>
  <c r="N13" i="25" s="1"/>
  <c r="I13" i="26"/>
  <c r="K9" i="26"/>
  <c r="M9" i="26"/>
  <c r="K19" i="24"/>
  <c r="M19" i="24"/>
  <c r="N19" i="24" s="1"/>
  <c r="L53" i="18"/>
  <c r="M53" i="18" s="1"/>
  <c r="I53" i="19"/>
  <c r="L53" i="19" s="1"/>
  <c r="K53" i="19" s="1"/>
  <c r="K29" i="24"/>
  <c r="M29" i="24"/>
  <c r="N29" i="24" s="1"/>
  <c r="I53" i="25"/>
  <c r="L52" i="24"/>
  <c r="I64" i="17"/>
  <c r="K29" i="25"/>
  <c r="M29" i="25"/>
  <c r="N29" i="25" s="1"/>
  <c r="L26" i="25"/>
  <c r="M26" i="25" s="1"/>
  <c r="I25" i="25"/>
  <c r="L25" i="25" s="1"/>
  <c r="K25" i="25" s="1"/>
  <c r="K40" i="23"/>
  <c r="M40" i="23"/>
  <c r="N40" i="23" s="1"/>
  <c r="M46" i="23"/>
  <c r="N46" i="23" s="1"/>
  <c r="K46" i="23"/>
  <c r="K49" i="25"/>
  <c r="M49" i="25"/>
  <c r="N49" i="25" s="1"/>
  <c r="M52" i="23"/>
  <c r="N52" i="23" s="1"/>
  <c r="K52" i="23"/>
  <c r="K45" i="24"/>
  <c r="M45" i="24"/>
  <c r="N45" i="24" s="1"/>
  <c r="K43" i="24"/>
  <c r="M43" i="24"/>
  <c r="N43" i="24" s="1"/>
  <c r="K26" i="24"/>
  <c r="M26" i="24"/>
  <c r="I20" i="25"/>
  <c r="L20" i="25" s="1"/>
  <c r="K20" i="25" s="1"/>
  <c r="I40" i="25"/>
  <c r="L40" i="24"/>
  <c r="I47" i="25"/>
  <c r="L46" i="24"/>
  <c r="K48" i="24"/>
  <c r="M48" i="24"/>
  <c r="N48" i="24" s="1"/>
  <c r="M13" i="24"/>
  <c r="N13" i="24" s="1"/>
  <c r="L60" i="25"/>
  <c r="L36" i="24"/>
  <c r="K36" i="24" s="1"/>
  <c r="I36" i="25"/>
  <c r="I36" i="26" s="1"/>
  <c r="L44" i="24"/>
  <c r="M44" i="24" s="1"/>
  <c r="N44" i="24" s="1"/>
  <c r="I45" i="25"/>
  <c r="L42" i="24"/>
  <c r="K42" i="24" s="1"/>
  <c r="I42" i="25"/>
  <c r="K9" i="25"/>
  <c r="M9" i="25"/>
  <c r="N28" i="25"/>
  <c r="L10" i="24"/>
  <c r="M10" i="24" s="1"/>
  <c r="I10" i="25"/>
  <c r="I10" i="26" s="1"/>
  <c r="I10" i="27" s="1"/>
  <c r="L10" i="27" s="1"/>
  <c r="L14" i="24"/>
  <c r="M14" i="24" s="1"/>
  <c r="N14" i="24" s="1"/>
  <c r="I14" i="25"/>
  <c r="K21" i="25"/>
  <c r="M21" i="25"/>
  <c r="K34" i="25"/>
  <c r="M34" i="25"/>
  <c r="M25" i="19"/>
  <c r="N25" i="19" s="1"/>
  <c r="K62" i="21"/>
  <c r="M42" i="23"/>
  <c r="N42" i="23" s="1"/>
  <c r="K14" i="23"/>
  <c r="M9" i="24"/>
  <c r="K9" i="24"/>
  <c r="N28" i="24"/>
  <c r="M21" i="24"/>
  <c r="K21" i="24"/>
  <c r="L59" i="24"/>
  <c r="K32" i="24"/>
  <c r="M32" i="24"/>
  <c r="K11" i="21"/>
  <c r="M39" i="21"/>
  <c r="L63" i="22"/>
  <c r="M63" i="22" s="1"/>
  <c r="N63" i="22" s="1"/>
  <c r="I63" i="23"/>
  <c r="L12" i="22"/>
  <c r="K12" i="22" s="1"/>
  <c r="I12" i="23"/>
  <c r="L62" i="22"/>
  <c r="K62" i="22" s="1"/>
  <c r="I62" i="23"/>
  <c r="L39" i="22"/>
  <c r="M39" i="22" s="1"/>
  <c r="I39" i="23"/>
  <c r="L11" i="22"/>
  <c r="K11" i="22" s="1"/>
  <c r="I11" i="23"/>
  <c r="I11" i="24" s="1"/>
  <c r="M21" i="23"/>
  <c r="K21" i="23"/>
  <c r="L37" i="22"/>
  <c r="K37" i="22" s="1"/>
  <c r="I37" i="23"/>
  <c r="L65" i="22"/>
  <c r="K65" i="22" s="1"/>
  <c r="I65" i="23"/>
  <c r="L61" i="22"/>
  <c r="M61" i="22" s="1"/>
  <c r="N61" i="22" s="1"/>
  <c r="I61" i="23"/>
  <c r="L15" i="22"/>
  <c r="M15" i="22" s="1"/>
  <c r="N15" i="22" s="1"/>
  <c r="I15" i="23"/>
  <c r="L59" i="23"/>
  <c r="L64" i="22"/>
  <c r="K64" i="22" s="1"/>
  <c r="I64" i="23"/>
  <c r="L36" i="23"/>
  <c r="K9" i="23"/>
  <c r="M9" i="23"/>
  <c r="L38" i="22"/>
  <c r="M38" i="22" s="1"/>
  <c r="N38" i="22" s="1"/>
  <c r="I38" i="23"/>
  <c r="N28" i="23"/>
  <c r="M25" i="23"/>
  <c r="N25" i="23" s="1"/>
  <c r="N34" i="23"/>
  <c r="K21" i="19"/>
  <c r="K63" i="21"/>
  <c r="M12" i="21"/>
  <c r="N12" i="21" s="1"/>
  <c r="M38" i="21"/>
  <c r="N38" i="21" s="1"/>
  <c r="M36" i="21"/>
  <c r="N36" i="21" s="1"/>
  <c r="M31" i="19"/>
  <c r="N31" i="19" s="1"/>
  <c r="M59" i="21"/>
  <c r="N59" i="21" s="1"/>
  <c r="M15" i="21"/>
  <c r="N15" i="21" s="1"/>
  <c r="M37" i="21"/>
  <c r="N37" i="21" s="1"/>
  <c r="M64" i="21"/>
  <c r="N64" i="21" s="1"/>
  <c r="N28" i="22"/>
  <c r="M25" i="22"/>
  <c r="N25" i="22" s="1"/>
  <c r="K9" i="22"/>
  <c r="M9" i="22"/>
  <c r="M65" i="21"/>
  <c r="N65" i="21" s="1"/>
  <c r="M61" i="21"/>
  <c r="N61" i="21" s="1"/>
  <c r="N32" i="22"/>
  <c r="L59" i="22"/>
  <c r="L36" i="22"/>
  <c r="I31" i="22"/>
  <c r="L31" i="22" s="1"/>
  <c r="K31" i="22" s="1"/>
  <c r="I8" i="22"/>
  <c r="M21" i="22"/>
  <c r="K21" i="22"/>
  <c r="M8" i="19"/>
  <c r="N8" i="19" s="1"/>
  <c r="N9" i="19"/>
  <c r="K54" i="18"/>
  <c r="L54" i="19"/>
  <c r="M54" i="19" s="1"/>
  <c r="N54" i="19" s="1"/>
  <c r="I54" i="21"/>
  <c r="M21" i="21"/>
  <c r="K21" i="21"/>
  <c r="N32" i="21"/>
  <c r="N28" i="21"/>
  <c r="M25" i="21"/>
  <c r="N25" i="21" s="1"/>
  <c r="N45" i="17"/>
  <c r="O45" i="17" s="1"/>
  <c r="N50" i="17"/>
  <c r="O50" i="17" s="1"/>
  <c r="N21" i="19"/>
  <c r="M20" i="19"/>
  <c r="N20" i="19" s="1"/>
  <c r="K56" i="18"/>
  <c r="N45" i="16"/>
  <c r="O45" i="16" s="1"/>
  <c r="N8" i="18"/>
  <c r="K60" i="18"/>
  <c r="M60" i="18"/>
  <c r="N21" i="18"/>
  <c r="M20" i="18"/>
  <c r="N20" i="18" s="1"/>
  <c r="N18" i="17"/>
  <c r="O18" i="17" s="1"/>
  <c r="O19" i="17"/>
  <c r="N18" i="16"/>
  <c r="O18" i="16" s="1"/>
  <c r="O19" i="16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M43" i="25" l="1"/>
  <c r="N43" i="25" s="1"/>
  <c r="M46" i="25"/>
  <c r="N46" i="25" s="1"/>
  <c r="K53" i="18"/>
  <c r="M25" i="24"/>
  <c r="N25" i="24" s="1"/>
  <c r="L30" i="26"/>
  <c r="M30" i="26" s="1"/>
  <c r="I31" i="27"/>
  <c r="L31" i="27" s="1"/>
  <c r="M31" i="27" s="1"/>
  <c r="I24" i="27"/>
  <c r="L24" i="27" s="1"/>
  <c r="M24" i="27" s="1"/>
  <c r="L24" i="26"/>
  <c r="M24" i="26" s="1"/>
  <c r="I50" i="27"/>
  <c r="L50" i="27" s="1"/>
  <c r="L49" i="26"/>
  <c r="L26" i="27"/>
  <c r="M26" i="27" s="1"/>
  <c r="L46" i="26"/>
  <c r="I47" i="27"/>
  <c r="L47" i="27" s="1"/>
  <c r="I49" i="27"/>
  <c r="L49" i="27" s="1"/>
  <c r="M49" i="27" s="1"/>
  <c r="L48" i="26"/>
  <c r="M48" i="26" s="1"/>
  <c r="L47" i="25"/>
  <c r="M47" i="25" s="1"/>
  <c r="N47" i="25" s="1"/>
  <c r="I47" i="26"/>
  <c r="L53" i="25"/>
  <c r="M53" i="25" s="1"/>
  <c r="N53" i="25" s="1"/>
  <c r="I53" i="26"/>
  <c r="I60" i="27"/>
  <c r="L60" i="27" s="1"/>
  <c r="M60" i="27" s="1"/>
  <c r="L59" i="26"/>
  <c r="M59" i="26" s="1"/>
  <c r="L22" i="26"/>
  <c r="M22" i="26" s="1"/>
  <c r="N22" i="26" s="1"/>
  <c r="I22" i="27"/>
  <c r="I20" i="26"/>
  <c r="L20" i="26" s="1"/>
  <c r="K20" i="26" s="1"/>
  <c r="I30" i="27"/>
  <c r="L30" i="27" s="1"/>
  <c r="L29" i="26"/>
  <c r="I23" i="27"/>
  <c r="L23" i="27" s="1"/>
  <c r="M23" i="27" s="1"/>
  <c r="L23" i="26"/>
  <c r="M23" i="26" s="1"/>
  <c r="I44" i="27"/>
  <c r="L44" i="27" s="1"/>
  <c r="L43" i="26"/>
  <c r="M25" i="25"/>
  <c r="N25" i="25" s="1"/>
  <c r="I68" i="27"/>
  <c r="L68" i="27" s="1"/>
  <c r="M68" i="27" s="1"/>
  <c r="L67" i="26"/>
  <c r="M67" i="26" s="1"/>
  <c r="I42" i="27"/>
  <c r="L42" i="27" s="1"/>
  <c r="M42" i="27" s="1"/>
  <c r="L41" i="26"/>
  <c r="M41" i="26" s="1"/>
  <c r="I25" i="26"/>
  <c r="L25" i="26" s="1"/>
  <c r="K25" i="26" s="1"/>
  <c r="L51" i="18"/>
  <c r="L70" i="18" s="1"/>
  <c r="K64" i="16"/>
  <c r="L64" i="16" s="1"/>
  <c r="I60" i="21"/>
  <c r="L60" i="21" s="1"/>
  <c r="L56" i="21" s="1"/>
  <c r="K56" i="21" s="1"/>
  <c r="K64" i="17"/>
  <c r="L64" i="17" s="1"/>
  <c r="L60" i="19"/>
  <c r="L56" i="19" s="1"/>
  <c r="K56" i="19" s="1"/>
  <c r="K13" i="25"/>
  <c r="L36" i="26"/>
  <c r="K36" i="26" s="1"/>
  <c r="I37" i="27"/>
  <c r="L19" i="26"/>
  <c r="M19" i="26" s="1"/>
  <c r="N19" i="26" s="1"/>
  <c r="I19" i="27"/>
  <c r="L19" i="27" s="1"/>
  <c r="K33" i="27"/>
  <c r="M33" i="27"/>
  <c r="L13" i="26"/>
  <c r="K13" i="26" s="1"/>
  <c r="I13" i="27"/>
  <c r="L17" i="26"/>
  <c r="K17" i="26" s="1"/>
  <c r="I17" i="27"/>
  <c r="L17" i="27" s="1"/>
  <c r="N21" i="27"/>
  <c r="K19" i="25"/>
  <c r="K61" i="27"/>
  <c r="M61" i="27"/>
  <c r="N50" i="16"/>
  <c r="O50" i="16" s="1"/>
  <c r="K14" i="24"/>
  <c r="M17" i="25"/>
  <c r="N17" i="25" s="1"/>
  <c r="K44" i="24"/>
  <c r="L42" i="25"/>
  <c r="M42" i="25" s="1"/>
  <c r="N42" i="25" s="1"/>
  <c r="I42" i="26"/>
  <c r="N9" i="26"/>
  <c r="L40" i="25"/>
  <c r="M40" i="25" s="1"/>
  <c r="N40" i="25" s="1"/>
  <c r="I40" i="26"/>
  <c r="K32" i="26"/>
  <c r="M32" i="26"/>
  <c r="K60" i="26"/>
  <c r="M60" i="26"/>
  <c r="L10" i="26"/>
  <c r="M10" i="26" s="1"/>
  <c r="L45" i="25"/>
  <c r="M45" i="25" s="1"/>
  <c r="N45" i="25" s="1"/>
  <c r="I45" i="26"/>
  <c r="N21" i="26"/>
  <c r="L14" i="25"/>
  <c r="M14" i="25" s="1"/>
  <c r="N14" i="25" s="1"/>
  <c r="I14" i="26"/>
  <c r="I53" i="21"/>
  <c r="I53" i="22" s="1"/>
  <c r="I53" i="23" s="1"/>
  <c r="I53" i="24" s="1"/>
  <c r="I54" i="25" s="1"/>
  <c r="K46" i="24"/>
  <c r="M46" i="24"/>
  <c r="N46" i="24" s="1"/>
  <c r="K40" i="24"/>
  <c r="M40" i="24"/>
  <c r="N40" i="24" s="1"/>
  <c r="M52" i="24"/>
  <c r="N52" i="24" s="1"/>
  <c r="K52" i="24"/>
  <c r="I51" i="19"/>
  <c r="I70" i="19" s="1"/>
  <c r="M42" i="24"/>
  <c r="N42" i="24" s="1"/>
  <c r="M36" i="24"/>
  <c r="N36" i="24" s="1"/>
  <c r="L36" i="25"/>
  <c r="L11" i="24"/>
  <c r="M11" i="24" s="1"/>
  <c r="N11" i="24" s="1"/>
  <c r="I11" i="25"/>
  <c r="N21" i="25"/>
  <c r="M20" i="25"/>
  <c r="N20" i="25" s="1"/>
  <c r="L10" i="25"/>
  <c r="M10" i="25" s="1"/>
  <c r="N9" i="25"/>
  <c r="K60" i="25"/>
  <c r="M60" i="25"/>
  <c r="N34" i="25"/>
  <c r="K63" i="22"/>
  <c r="K15" i="22"/>
  <c r="M62" i="22"/>
  <c r="N62" i="22" s="1"/>
  <c r="L61" i="23"/>
  <c r="K61" i="23" s="1"/>
  <c r="I61" i="24"/>
  <c r="L37" i="23"/>
  <c r="M37" i="23" s="1"/>
  <c r="N37" i="23" s="1"/>
  <c r="I37" i="24"/>
  <c r="I37" i="25" s="1"/>
  <c r="L62" i="23"/>
  <c r="M62" i="23" s="1"/>
  <c r="N62" i="23" s="1"/>
  <c r="I62" i="24"/>
  <c r="L63" i="23"/>
  <c r="K63" i="23" s="1"/>
  <c r="I63" i="24"/>
  <c r="N32" i="24"/>
  <c r="M59" i="24"/>
  <c r="K59" i="24"/>
  <c r="N9" i="24"/>
  <c r="L38" i="23"/>
  <c r="M38" i="23" s="1"/>
  <c r="N38" i="23" s="1"/>
  <c r="I38" i="24"/>
  <c r="L15" i="23"/>
  <c r="K15" i="23" s="1"/>
  <c r="I15" i="24"/>
  <c r="L65" i="23"/>
  <c r="K65" i="23" s="1"/>
  <c r="I65" i="24"/>
  <c r="L39" i="23"/>
  <c r="M39" i="23" s="1"/>
  <c r="I39" i="24"/>
  <c r="L12" i="23"/>
  <c r="K12" i="23" s="1"/>
  <c r="I12" i="24"/>
  <c r="N21" i="24"/>
  <c r="M20" i="24"/>
  <c r="N20" i="24" s="1"/>
  <c r="L64" i="23"/>
  <c r="K64" i="23" s="1"/>
  <c r="I64" i="24"/>
  <c r="M37" i="22"/>
  <c r="N37" i="22" s="1"/>
  <c r="K61" i="22"/>
  <c r="M11" i="22"/>
  <c r="N11" i="22" s="1"/>
  <c r="M65" i="22"/>
  <c r="N65" i="22" s="1"/>
  <c r="K38" i="22"/>
  <c r="M8" i="21"/>
  <c r="N8" i="21" s="1"/>
  <c r="M64" i="22"/>
  <c r="N64" i="22" s="1"/>
  <c r="M12" i="22"/>
  <c r="N12" i="22" s="1"/>
  <c r="K39" i="22"/>
  <c r="M20" i="23"/>
  <c r="N20" i="23" s="1"/>
  <c r="N21" i="23"/>
  <c r="N9" i="23"/>
  <c r="I31" i="23"/>
  <c r="L31" i="23" s="1"/>
  <c r="K31" i="23" s="1"/>
  <c r="L11" i="23"/>
  <c r="I8" i="23"/>
  <c r="K36" i="23"/>
  <c r="M36" i="23"/>
  <c r="K59" i="23"/>
  <c r="M59" i="23"/>
  <c r="M31" i="21"/>
  <c r="N31" i="21" s="1"/>
  <c r="L8" i="22"/>
  <c r="K36" i="22"/>
  <c r="M36" i="22"/>
  <c r="K59" i="22"/>
  <c r="M59" i="22"/>
  <c r="L54" i="21"/>
  <c r="M54" i="21" s="1"/>
  <c r="N54" i="21" s="1"/>
  <c r="I54" i="22"/>
  <c r="M20" i="22"/>
  <c r="N20" i="22" s="1"/>
  <c r="N21" i="22"/>
  <c r="N9" i="22"/>
  <c r="M53" i="19"/>
  <c r="N53" i="19" s="1"/>
  <c r="L51" i="19"/>
  <c r="K51" i="19" s="1"/>
  <c r="K54" i="19"/>
  <c r="L53" i="21"/>
  <c r="N21" i="21"/>
  <c r="M20" i="21"/>
  <c r="N53" i="18"/>
  <c r="M51" i="18"/>
  <c r="N60" i="18"/>
  <c r="M56" i="18"/>
  <c r="N56" i="18" s="1"/>
  <c r="K51" i="18"/>
  <c r="N64" i="17"/>
  <c r="O64" i="17" s="1"/>
  <c r="H493" i="15"/>
  <c r="J486" i="15"/>
  <c r="G486" i="15"/>
  <c r="H486" i="15"/>
  <c r="F486" i="15"/>
  <c r="J480" i="15"/>
  <c r="G480" i="15"/>
  <c r="H480" i="15"/>
  <c r="F480" i="15"/>
  <c r="G473" i="15"/>
  <c r="H473" i="15"/>
  <c r="F473" i="15"/>
  <c r="J463" i="15"/>
  <c r="G463" i="15"/>
  <c r="H463" i="15"/>
  <c r="F463" i="15"/>
  <c r="G454" i="15"/>
  <c r="H454" i="15"/>
  <c r="F454" i="15"/>
  <c r="G439" i="15"/>
  <c r="G414" i="15" s="1"/>
  <c r="H439" i="15"/>
  <c r="F439" i="15"/>
  <c r="F414" i="15" s="1"/>
  <c r="J566" i="15"/>
  <c r="F566" i="15"/>
  <c r="H566" i="15"/>
  <c r="E566" i="15"/>
  <c r="E515" i="15"/>
  <c r="J515" i="15"/>
  <c r="F515" i="15"/>
  <c r="F497" i="15" s="1"/>
  <c r="G515" i="15"/>
  <c r="H515" i="15"/>
  <c r="G377" i="15"/>
  <c r="H377" i="15"/>
  <c r="F377" i="15"/>
  <c r="F361" i="15"/>
  <c r="J361" i="15"/>
  <c r="G361" i="15"/>
  <c r="H361" i="15"/>
  <c r="F341" i="15"/>
  <c r="G341" i="15"/>
  <c r="H341" i="15"/>
  <c r="G212" i="15"/>
  <c r="H212" i="15"/>
  <c r="F212" i="15"/>
  <c r="G190" i="15"/>
  <c r="H190" i="15"/>
  <c r="F190" i="15"/>
  <c r="E150" i="15"/>
  <c r="G179" i="15"/>
  <c r="E41" i="13" s="1"/>
  <c r="H179" i="15"/>
  <c r="F179" i="15"/>
  <c r="G162" i="15"/>
  <c r="H162" i="15"/>
  <c r="F162" i="15"/>
  <c r="G151" i="15"/>
  <c r="H151" i="15"/>
  <c r="J130" i="15"/>
  <c r="G130" i="15"/>
  <c r="H130" i="15"/>
  <c r="F130" i="15"/>
  <c r="F151" i="15"/>
  <c r="K53" i="25" l="1"/>
  <c r="M46" i="26"/>
  <c r="N46" i="26" s="1"/>
  <c r="K46" i="26"/>
  <c r="K50" i="27"/>
  <c r="M50" i="27"/>
  <c r="N50" i="27" s="1"/>
  <c r="K43" i="26"/>
  <c r="M43" i="26"/>
  <c r="N43" i="26" s="1"/>
  <c r="K29" i="26"/>
  <c r="M29" i="26"/>
  <c r="K44" i="27"/>
  <c r="M44" i="27"/>
  <c r="N44" i="27" s="1"/>
  <c r="K30" i="27"/>
  <c r="M30" i="27"/>
  <c r="N30" i="27" s="1"/>
  <c r="I48" i="27"/>
  <c r="L48" i="27" s="1"/>
  <c r="M48" i="27" s="1"/>
  <c r="L47" i="26"/>
  <c r="M47" i="26" s="1"/>
  <c r="N47" i="26" s="1"/>
  <c r="M47" i="27"/>
  <c r="N47" i="27" s="1"/>
  <c r="K47" i="27"/>
  <c r="M49" i="26"/>
  <c r="N49" i="26" s="1"/>
  <c r="K49" i="26"/>
  <c r="M20" i="26"/>
  <c r="N20" i="26" s="1"/>
  <c r="L22" i="27"/>
  <c r="M22" i="27" s="1"/>
  <c r="I20" i="27"/>
  <c r="L20" i="27" s="1"/>
  <c r="K20" i="27" s="1"/>
  <c r="I54" i="27"/>
  <c r="L54" i="27" s="1"/>
  <c r="L53" i="26"/>
  <c r="I25" i="27"/>
  <c r="L25" i="27" s="1"/>
  <c r="K25" i="27" s="1"/>
  <c r="I60" i="22"/>
  <c r="I60" i="23" s="1"/>
  <c r="I60" i="24" s="1"/>
  <c r="I61" i="25" s="1"/>
  <c r="I61" i="26" s="1"/>
  <c r="I62" i="27" s="1"/>
  <c r="I56" i="21"/>
  <c r="K19" i="26"/>
  <c r="K60" i="19"/>
  <c r="M13" i="26"/>
  <c r="N13" i="26" s="1"/>
  <c r="M60" i="19"/>
  <c r="N60" i="19" s="1"/>
  <c r="K45" i="25"/>
  <c r="K14" i="25"/>
  <c r="M36" i="26"/>
  <c r="N36" i="26" s="1"/>
  <c r="M17" i="26"/>
  <c r="N17" i="26" s="1"/>
  <c r="N64" i="16"/>
  <c r="O64" i="16" s="1"/>
  <c r="L40" i="26"/>
  <c r="M40" i="26" s="1"/>
  <c r="N40" i="26" s="1"/>
  <c r="I41" i="27"/>
  <c r="L41" i="27" s="1"/>
  <c r="N61" i="27"/>
  <c r="L42" i="26"/>
  <c r="K42" i="26" s="1"/>
  <c r="I43" i="27"/>
  <c r="L43" i="27" s="1"/>
  <c r="N17" i="27"/>
  <c r="K17" i="27"/>
  <c r="N33" i="27"/>
  <c r="L37" i="27"/>
  <c r="L62" i="27"/>
  <c r="L14" i="26"/>
  <c r="K14" i="26" s="1"/>
  <c r="I14" i="27"/>
  <c r="L14" i="27" s="1"/>
  <c r="L45" i="26"/>
  <c r="M45" i="26" s="1"/>
  <c r="N45" i="26" s="1"/>
  <c r="I46" i="27"/>
  <c r="L46" i="27" s="1"/>
  <c r="L13" i="27"/>
  <c r="K19" i="27"/>
  <c r="N19" i="27"/>
  <c r="L53" i="24"/>
  <c r="K53" i="24" s="1"/>
  <c r="K42" i="25"/>
  <c r="L61" i="26"/>
  <c r="L54" i="25"/>
  <c r="K54" i="25" s="1"/>
  <c r="I54" i="26"/>
  <c r="I55" i="27" s="1"/>
  <c r="N32" i="26"/>
  <c r="K40" i="25"/>
  <c r="L37" i="25"/>
  <c r="M37" i="25" s="1"/>
  <c r="N37" i="25" s="1"/>
  <c r="I37" i="26"/>
  <c r="I38" i="27" s="1"/>
  <c r="L38" i="27" s="1"/>
  <c r="L11" i="25"/>
  <c r="K11" i="25" s="1"/>
  <c r="I11" i="26"/>
  <c r="I11" i="27" s="1"/>
  <c r="L11" i="27" s="1"/>
  <c r="N60" i="26"/>
  <c r="I51" i="21"/>
  <c r="L53" i="22"/>
  <c r="K53" i="22" s="1"/>
  <c r="L53" i="23"/>
  <c r="K53" i="23" s="1"/>
  <c r="K11" i="24"/>
  <c r="M15" i="23"/>
  <c r="N15" i="23" s="1"/>
  <c r="L62" i="24"/>
  <c r="M62" i="24" s="1"/>
  <c r="N62" i="24" s="1"/>
  <c r="I63" i="25"/>
  <c r="N60" i="25"/>
  <c r="L39" i="24"/>
  <c r="M39" i="24" s="1"/>
  <c r="I39" i="25"/>
  <c r="L15" i="24"/>
  <c r="M15" i="24" s="1"/>
  <c r="N15" i="24" s="1"/>
  <c r="I15" i="25"/>
  <c r="L61" i="25"/>
  <c r="L63" i="24"/>
  <c r="K63" i="24" s="1"/>
  <c r="I64" i="25"/>
  <c r="L61" i="24"/>
  <c r="K61" i="24" s="1"/>
  <c r="I62" i="25"/>
  <c r="L64" i="24"/>
  <c r="M64" i="24" s="1"/>
  <c r="N64" i="24" s="1"/>
  <c r="I65" i="25"/>
  <c r="L12" i="24"/>
  <c r="M12" i="24" s="1"/>
  <c r="I12" i="25"/>
  <c r="L65" i="24"/>
  <c r="K65" i="24" s="1"/>
  <c r="I66" i="25"/>
  <c r="L38" i="24"/>
  <c r="M38" i="24" s="1"/>
  <c r="N38" i="24" s="1"/>
  <c r="I38" i="25"/>
  <c r="K36" i="25"/>
  <c r="M36" i="25"/>
  <c r="M61" i="23"/>
  <c r="N61" i="23" s="1"/>
  <c r="M63" i="23"/>
  <c r="N63" i="23" s="1"/>
  <c r="K39" i="23"/>
  <c r="K37" i="23"/>
  <c r="K62" i="23"/>
  <c r="M64" i="23"/>
  <c r="N64" i="23" s="1"/>
  <c r="K38" i="23"/>
  <c r="M12" i="23"/>
  <c r="N12" i="23" s="1"/>
  <c r="M65" i="23"/>
  <c r="N65" i="23" s="1"/>
  <c r="L37" i="24"/>
  <c r="I31" i="24"/>
  <c r="L31" i="24" s="1"/>
  <c r="K31" i="24" s="1"/>
  <c r="K39" i="24"/>
  <c r="L60" i="24"/>
  <c r="I56" i="24"/>
  <c r="I8" i="24"/>
  <c r="L8" i="24" s="1"/>
  <c r="N59" i="24"/>
  <c r="G150" i="15"/>
  <c r="M8" i="22"/>
  <c r="N8" i="22" s="1"/>
  <c r="K11" i="23"/>
  <c r="M11" i="23"/>
  <c r="N36" i="23"/>
  <c r="M31" i="23"/>
  <c r="N31" i="23" s="1"/>
  <c r="L60" i="23"/>
  <c r="I56" i="23"/>
  <c r="L54" i="22"/>
  <c r="M54" i="22" s="1"/>
  <c r="N54" i="22" s="1"/>
  <c r="I54" i="23"/>
  <c r="I54" i="24" s="1"/>
  <c r="I55" i="25" s="1"/>
  <c r="I55" i="26" s="1"/>
  <c r="N59" i="23"/>
  <c r="L8" i="23"/>
  <c r="M51" i="19"/>
  <c r="N51" i="19" s="1"/>
  <c r="I51" i="22"/>
  <c r="N36" i="22"/>
  <c r="M31" i="22"/>
  <c r="N31" i="22" s="1"/>
  <c r="L60" i="22"/>
  <c r="I56" i="22"/>
  <c r="K54" i="21"/>
  <c r="N59" i="22"/>
  <c r="L51" i="21"/>
  <c r="K51" i="21" s="1"/>
  <c r="K8" i="22"/>
  <c r="M60" i="21"/>
  <c r="M56" i="21" s="1"/>
  <c r="N56" i="21" s="1"/>
  <c r="K60" i="21"/>
  <c r="L70" i="19"/>
  <c r="K70" i="19" s="1"/>
  <c r="M53" i="21"/>
  <c r="M51" i="21" s="1"/>
  <c r="N51" i="21" s="1"/>
  <c r="K53" i="21"/>
  <c r="N20" i="21"/>
  <c r="G189" i="15"/>
  <c r="J150" i="15"/>
  <c r="K70" i="18"/>
  <c r="N51" i="18"/>
  <c r="M70" i="18"/>
  <c r="N70" i="18" s="1"/>
  <c r="H189" i="15"/>
  <c r="F493" i="15"/>
  <c r="F189" i="15" s="1"/>
  <c r="J189" i="15"/>
  <c r="I162" i="15"/>
  <c r="K162" i="15" s="1"/>
  <c r="L162" i="15" s="1"/>
  <c r="F150" i="15"/>
  <c r="H150" i="15"/>
  <c r="G122" i="15"/>
  <c r="H122" i="15"/>
  <c r="F122" i="15"/>
  <c r="G106" i="15"/>
  <c r="H106" i="15"/>
  <c r="F106" i="15"/>
  <c r="G88" i="15"/>
  <c r="H88" i="15"/>
  <c r="F88" i="15"/>
  <c r="G80" i="15"/>
  <c r="H80" i="15"/>
  <c r="F80" i="15"/>
  <c r="G64" i="15"/>
  <c r="H64" i="15"/>
  <c r="F64" i="15"/>
  <c r="G45" i="15"/>
  <c r="H45" i="15"/>
  <c r="F45" i="15"/>
  <c r="G29" i="15"/>
  <c r="H29" i="15"/>
  <c r="F29" i="15"/>
  <c r="G4" i="15"/>
  <c r="F4" i="15"/>
  <c r="I710" i="15"/>
  <c r="H709" i="15"/>
  <c r="G709" i="15"/>
  <c r="F709" i="15"/>
  <c r="E709" i="15"/>
  <c r="I700" i="15"/>
  <c r="K700" i="15" s="1"/>
  <c r="I683" i="15"/>
  <c r="K683" i="15" s="1"/>
  <c r="I663" i="15"/>
  <c r="K663" i="15" s="1"/>
  <c r="I648" i="15"/>
  <c r="K648" i="15" s="1"/>
  <c r="I632" i="15"/>
  <c r="K632" i="15" s="1"/>
  <c r="I616" i="15"/>
  <c r="K616" i="15" s="1"/>
  <c r="I600" i="15"/>
  <c r="K600" i="15" s="1"/>
  <c r="L612" i="15" s="1"/>
  <c r="I584" i="15"/>
  <c r="K584" i="15" s="1"/>
  <c r="I580" i="15"/>
  <c r="I567" i="15"/>
  <c r="K567" i="15" s="1"/>
  <c r="I559" i="15"/>
  <c r="K559" i="15" s="1"/>
  <c r="I541" i="15"/>
  <c r="K541" i="15" s="1"/>
  <c r="I526" i="15"/>
  <c r="K526" i="15" s="1"/>
  <c r="I516" i="15"/>
  <c r="K516" i="15" s="1"/>
  <c r="I491" i="15"/>
  <c r="I486" i="15"/>
  <c r="K486" i="15" s="1"/>
  <c r="I480" i="15"/>
  <c r="K480" i="15" s="1"/>
  <c r="I473" i="15"/>
  <c r="K473" i="15" s="1"/>
  <c r="I463" i="15"/>
  <c r="K463" i="15" s="1"/>
  <c r="I454" i="15"/>
  <c r="K454" i="15" s="1"/>
  <c r="I450" i="15"/>
  <c r="I439" i="15"/>
  <c r="K439" i="15" s="1"/>
  <c r="L439" i="15" s="1"/>
  <c r="E414" i="15"/>
  <c r="I414" i="15" s="1"/>
  <c r="K414" i="15" s="1"/>
  <c r="L414" i="15" s="1"/>
  <c r="E377" i="15"/>
  <c r="E361" i="15"/>
  <c r="I341" i="15"/>
  <c r="K341" i="15" s="1"/>
  <c r="L341" i="15" s="1"/>
  <c r="I212" i="15"/>
  <c r="I190" i="15"/>
  <c r="K190" i="15" s="1"/>
  <c r="L190" i="15" s="1"/>
  <c r="I188" i="15"/>
  <c r="I179" i="15"/>
  <c r="I151" i="15"/>
  <c r="I148" i="15"/>
  <c r="I147" i="15"/>
  <c r="E131" i="15"/>
  <c r="E130" i="15" s="1"/>
  <c r="I27" i="15"/>
  <c r="E3" i="15"/>
  <c r="M53" i="26" l="1"/>
  <c r="N53" i="26" s="1"/>
  <c r="K53" i="26"/>
  <c r="N29" i="26"/>
  <c r="M25" i="26"/>
  <c r="N25" i="26" s="1"/>
  <c r="K54" i="27"/>
  <c r="M54" i="27"/>
  <c r="I70" i="21"/>
  <c r="N22" i="27"/>
  <c r="M20" i="27"/>
  <c r="N20" i="27" s="1"/>
  <c r="M25" i="27"/>
  <c r="N25" i="27" s="1"/>
  <c r="M54" i="25"/>
  <c r="N54" i="25" s="1"/>
  <c r="K40" i="26"/>
  <c r="M53" i="24"/>
  <c r="N53" i="24" s="1"/>
  <c r="M56" i="19"/>
  <c r="N56" i="19" s="1"/>
  <c r="M42" i="26"/>
  <c r="N42" i="26" s="1"/>
  <c r="M53" i="22"/>
  <c r="N53" i="22" s="1"/>
  <c r="K45" i="26"/>
  <c r="K37" i="25"/>
  <c r="M14" i="26"/>
  <c r="N14" i="26" s="1"/>
  <c r="L55" i="26"/>
  <c r="M55" i="26" s="1"/>
  <c r="N55" i="26" s="1"/>
  <c r="I56" i="27"/>
  <c r="L56" i="27" s="1"/>
  <c r="K13" i="27"/>
  <c r="N13" i="27"/>
  <c r="K14" i="27"/>
  <c r="N14" i="27"/>
  <c r="K11" i="27"/>
  <c r="K37" i="27"/>
  <c r="M37" i="27"/>
  <c r="K46" i="27"/>
  <c r="M46" i="27"/>
  <c r="N46" i="27" s="1"/>
  <c r="M43" i="27"/>
  <c r="N43" i="27" s="1"/>
  <c r="K43" i="27"/>
  <c r="K41" i="27"/>
  <c r="M41" i="27"/>
  <c r="N41" i="27" s="1"/>
  <c r="K38" i="27"/>
  <c r="M38" i="27"/>
  <c r="N38" i="27" s="1"/>
  <c r="L55" i="27"/>
  <c r="K62" i="27"/>
  <c r="M62" i="27"/>
  <c r="M11" i="25"/>
  <c r="N11" i="25" s="1"/>
  <c r="M65" i="24"/>
  <c r="N65" i="24" s="1"/>
  <c r="L37" i="26"/>
  <c r="M61" i="26"/>
  <c r="K61" i="26"/>
  <c r="L66" i="25"/>
  <c r="K66" i="25" s="1"/>
  <c r="I66" i="26"/>
  <c r="L65" i="25"/>
  <c r="M65" i="25" s="1"/>
  <c r="N65" i="25" s="1"/>
  <c r="I65" i="26"/>
  <c r="L62" i="25"/>
  <c r="K62" i="25" s="1"/>
  <c r="I62" i="26"/>
  <c r="I63" i="27" s="1"/>
  <c r="L54" i="26"/>
  <c r="I52" i="26"/>
  <c r="L15" i="25"/>
  <c r="K15" i="25" s="1"/>
  <c r="I15" i="26"/>
  <c r="L11" i="26"/>
  <c r="L39" i="25"/>
  <c r="M39" i="25" s="1"/>
  <c r="I39" i="26"/>
  <c r="M63" i="24"/>
  <c r="N63" i="24" s="1"/>
  <c r="L38" i="25"/>
  <c r="K38" i="25" s="1"/>
  <c r="I38" i="26"/>
  <c r="L12" i="25"/>
  <c r="K12" i="25" s="1"/>
  <c r="I12" i="26"/>
  <c r="L64" i="25"/>
  <c r="K64" i="25" s="1"/>
  <c r="I64" i="26"/>
  <c r="L63" i="25"/>
  <c r="K63" i="25" s="1"/>
  <c r="I63" i="26"/>
  <c r="I493" i="15"/>
  <c r="K493" i="15" s="1"/>
  <c r="M53" i="23"/>
  <c r="N53" i="23" s="1"/>
  <c r="K38" i="24"/>
  <c r="K62" i="24"/>
  <c r="K64" i="24"/>
  <c r="K12" i="24"/>
  <c r="K15" i="24"/>
  <c r="M61" i="24"/>
  <c r="N61" i="24" s="1"/>
  <c r="L55" i="25"/>
  <c r="I52" i="25"/>
  <c r="I31" i="25"/>
  <c r="L31" i="25" s="1"/>
  <c r="K31" i="25" s="1"/>
  <c r="I8" i="25"/>
  <c r="I57" i="25"/>
  <c r="N36" i="25"/>
  <c r="M61" i="25"/>
  <c r="K61" i="25"/>
  <c r="G149" i="15"/>
  <c r="K60" i="24"/>
  <c r="M60" i="24"/>
  <c r="L56" i="24"/>
  <c r="K56" i="24" s="1"/>
  <c r="M37" i="24"/>
  <c r="K37" i="24"/>
  <c r="L54" i="24"/>
  <c r="I51" i="24"/>
  <c r="I70" i="24" s="1"/>
  <c r="N12" i="24"/>
  <c r="M8" i="24"/>
  <c r="K8" i="24"/>
  <c r="L70" i="21"/>
  <c r="K70" i="21" s="1"/>
  <c r="L51" i="22"/>
  <c r="K51" i="22" s="1"/>
  <c r="K54" i="22"/>
  <c r="L54" i="23"/>
  <c r="I51" i="23"/>
  <c r="I70" i="23" s="1"/>
  <c r="K8" i="23"/>
  <c r="N11" i="23"/>
  <c r="M8" i="23"/>
  <c r="K60" i="23"/>
  <c r="M60" i="23"/>
  <c r="L56" i="23"/>
  <c r="K56" i="23" s="1"/>
  <c r="I70" i="22"/>
  <c r="K60" i="22"/>
  <c r="M60" i="22"/>
  <c r="L56" i="22"/>
  <c r="K56" i="22" s="1"/>
  <c r="J149" i="15"/>
  <c r="N60" i="21"/>
  <c r="N53" i="21"/>
  <c r="M70" i="21"/>
  <c r="N70" i="21" s="1"/>
  <c r="I45" i="15"/>
  <c r="K45" i="15" s="1"/>
  <c r="L45" i="15" s="1"/>
  <c r="J716" i="15"/>
  <c r="K716" i="15" s="1"/>
  <c r="F149" i="15"/>
  <c r="H149" i="15"/>
  <c r="I150" i="15"/>
  <c r="E189" i="15"/>
  <c r="E149" i="15" s="1"/>
  <c r="K151" i="15"/>
  <c r="K212" i="15"/>
  <c r="L329" i="15" s="1"/>
  <c r="I709" i="15"/>
  <c r="K710" i="15"/>
  <c r="F3" i="15"/>
  <c r="I515" i="15"/>
  <c r="K515" i="15" s="1"/>
  <c r="I566" i="15"/>
  <c r="K566" i="15" s="1"/>
  <c r="I29" i="15"/>
  <c r="K29" i="15" s="1"/>
  <c r="L29" i="15" s="1"/>
  <c r="I88" i="15"/>
  <c r="K88" i="15" s="1"/>
  <c r="L88" i="15" s="1"/>
  <c r="I122" i="15"/>
  <c r="K122" i="15" s="1"/>
  <c r="L122" i="15" s="1"/>
  <c r="I361" i="15"/>
  <c r="K361" i="15" s="1"/>
  <c r="L361" i="15" s="1"/>
  <c r="G3" i="15"/>
  <c r="G716" i="15" s="1"/>
  <c r="I4" i="15"/>
  <c r="K4" i="15" s="1"/>
  <c r="I80" i="15"/>
  <c r="K80" i="15" s="1"/>
  <c r="L80" i="15" s="1"/>
  <c r="H3" i="15"/>
  <c r="H716" i="15" s="1"/>
  <c r="K179" i="15"/>
  <c r="I106" i="15"/>
  <c r="K106" i="15" s="1"/>
  <c r="L106" i="15" s="1"/>
  <c r="I64" i="15"/>
  <c r="K64" i="15" s="1"/>
  <c r="J3" i="15"/>
  <c r="I131" i="15"/>
  <c r="I377" i="15"/>
  <c r="K377" i="15" s="1"/>
  <c r="L377" i="15" s="1"/>
  <c r="C77" i="13"/>
  <c r="T78" i="13"/>
  <c r="G718" i="15" l="1"/>
  <c r="N54" i="27"/>
  <c r="L4" i="15"/>
  <c r="E716" i="15"/>
  <c r="M66" i="25"/>
  <c r="N66" i="25" s="1"/>
  <c r="M62" i="25"/>
  <c r="N62" i="25" s="1"/>
  <c r="M70" i="19"/>
  <c r="N70" i="19" s="1"/>
  <c r="M51" i="22"/>
  <c r="N51" i="22" s="1"/>
  <c r="K55" i="26"/>
  <c r="M38" i="25"/>
  <c r="N38" i="25" s="1"/>
  <c r="M15" i="25"/>
  <c r="N15" i="25" s="1"/>
  <c r="I53" i="27"/>
  <c r="L64" i="26"/>
  <c r="M64" i="26" s="1"/>
  <c r="N64" i="26" s="1"/>
  <c r="I65" i="27"/>
  <c r="L65" i="27" s="1"/>
  <c r="L38" i="26"/>
  <c r="M38" i="26" s="1"/>
  <c r="N38" i="26" s="1"/>
  <c r="I39" i="27"/>
  <c r="L15" i="26"/>
  <c r="K15" i="26" s="1"/>
  <c r="I15" i="27"/>
  <c r="L15" i="27" s="1"/>
  <c r="L63" i="27"/>
  <c r="L66" i="26"/>
  <c r="M66" i="26" s="1"/>
  <c r="N66" i="26" s="1"/>
  <c r="I67" i="27"/>
  <c r="L67" i="27" s="1"/>
  <c r="N62" i="27"/>
  <c r="N37" i="27"/>
  <c r="L39" i="26"/>
  <c r="K39" i="26" s="1"/>
  <c r="I40" i="27"/>
  <c r="L40" i="27" s="1"/>
  <c r="L63" i="26"/>
  <c r="M63" i="26" s="1"/>
  <c r="N63" i="26" s="1"/>
  <c r="I64" i="27"/>
  <c r="L64" i="27" s="1"/>
  <c r="L12" i="26"/>
  <c r="M12" i="26" s="1"/>
  <c r="N12" i="26" s="1"/>
  <c r="I12" i="27"/>
  <c r="L65" i="26"/>
  <c r="M65" i="26" s="1"/>
  <c r="N65" i="26" s="1"/>
  <c r="I66" i="27"/>
  <c r="L66" i="27" s="1"/>
  <c r="M56" i="27"/>
  <c r="N56" i="27" s="1"/>
  <c r="K56" i="27"/>
  <c r="M64" i="25"/>
  <c r="N64" i="25" s="1"/>
  <c r="K55" i="27"/>
  <c r="L53" i="27"/>
  <c r="K53" i="27" s="1"/>
  <c r="M55" i="27"/>
  <c r="M53" i="27" s="1"/>
  <c r="N11" i="27"/>
  <c r="M63" i="25"/>
  <c r="N63" i="25" s="1"/>
  <c r="M12" i="25"/>
  <c r="N12" i="25" s="1"/>
  <c r="K65" i="25"/>
  <c r="K39" i="25"/>
  <c r="M11" i="26"/>
  <c r="K11" i="26"/>
  <c r="M54" i="26"/>
  <c r="K54" i="26"/>
  <c r="L52" i="26"/>
  <c r="K52" i="26" s="1"/>
  <c r="L57" i="25"/>
  <c r="K57" i="25" s="1"/>
  <c r="L62" i="26"/>
  <c r="I57" i="26"/>
  <c r="N61" i="26"/>
  <c r="I31" i="26"/>
  <c r="L31" i="26" s="1"/>
  <c r="K31" i="26" s="1"/>
  <c r="I8" i="26"/>
  <c r="K37" i="26"/>
  <c r="M37" i="26"/>
  <c r="N61" i="25"/>
  <c r="L8" i="25"/>
  <c r="I71" i="25"/>
  <c r="M55" i="25"/>
  <c r="K55" i="25"/>
  <c r="L52" i="25"/>
  <c r="K52" i="25" s="1"/>
  <c r="K54" i="24"/>
  <c r="M54" i="24"/>
  <c r="L51" i="24"/>
  <c r="N8" i="24"/>
  <c r="N37" i="24"/>
  <c r="M31" i="24"/>
  <c r="N31" i="24" s="1"/>
  <c r="N60" i="24"/>
  <c r="M56" i="24"/>
  <c r="N56" i="24" s="1"/>
  <c r="N8" i="23"/>
  <c r="N60" i="23"/>
  <c r="M56" i="23"/>
  <c r="N56" i="23" s="1"/>
  <c r="K54" i="23"/>
  <c r="M54" i="23"/>
  <c r="L51" i="23"/>
  <c r="L70" i="22"/>
  <c r="K70" i="22" s="1"/>
  <c r="N60" i="22"/>
  <c r="M56" i="22"/>
  <c r="N56" i="22" s="1"/>
  <c r="F716" i="15"/>
  <c r="K150" i="15"/>
  <c r="I130" i="15"/>
  <c r="K130" i="15" s="1"/>
  <c r="K131" i="15"/>
  <c r="K3" i="15" s="1"/>
  <c r="I3" i="15"/>
  <c r="I716" i="15" l="1"/>
  <c r="K66" i="26"/>
  <c r="M31" i="25"/>
  <c r="N31" i="25" s="1"/>
  <c r="K63" i="26"/>
  <c r="K12" i="26"/>
  <c r="M39" i="26"/>
  <c r="M8" i="25"/>
  <c r="N8" i="25" s="1"/>
  <c r="M15" i="26"/>
  <c r="N15" i="26" s="1"/>
  <c r="K65" i="26"/>
  <c r="K64" i="26"/>
  <c r="K38" i="26"/>
  <c r="M57" i="25"/>
  <c r="N57" i="25" s="1"/>
  <c r="L131" i="15"/>
  <c r="K40" i="27"/>
  <c r="M40" i="27"/>
  <c r="I58" i="27"/>
  <c r="L39" i="27"/>
  <c r="I32" i="27"/>
  <c r="L32" i="27" s="1"/>
  <c r="K32" i="27" s="1"/>
  <c r="K66" i="27"/>
  <c r="M66" i="27"/>
  <c r="N66" i="27" s="1"/>
  <c r="K64" i="27"/>
  <c r="M64" i="27"/>
  <c r="N64" i="27" s="1"/>
  <c r="K63" i="27"/>
  <c r="M63" i="27"/>
  <c r="K58" i="27"/>
  <c r="K67" i="27"/>
  <c r="M67" i="27"/>
  <c r="N67" i="27" s="1"/>
  <c r="K15" i="27"/>
  <c r="N15" i="27"/>
  <c r="K65" i="27"/>
  <c r="M65" i="27"/>
  <c r="N65" i="27" s="1"/>
  <c r="N55" i="27"/>
  <c r="N53" i="27"/>
  <c r="L12" i="27"/>
  <c r="I8" i="27"/>
  <c r="N11" i="26"/>
  <c r="I71" i="26"/>
  <c r="L8" i="26"/>
  <c r="N37" i="26"/>
  <c r="M31" i="26"/>
  <c r="N31" i="26" s="1"/>
  <c r="K62" i="26"/>
  <c r="M62" i="26"/>
  <c r="L57" i="26"/>
  <c r="K57" i="26" s="1"/>
  <c r="N54" i="26"/>
  <c r="M52" i="26"/>
  <c r="N52" i="26" s="1"/>
  <c r="K8" i="25"/>
  <c r="L71" i="25"/>
  <c r="N55" i="25"/>
  <c r="M52" i="25"/>
  <c r="N52" i="25" s="1"/>
  <c r="K51" i="24"/>
  <c r="L70" i="24"/>
  <c r="N54" i="24"/>
  <c r="M51" i="24"/>
  <c r="K51" i="23"/>
  <c r="L70" i="23"/>
  <c r="N54" i="23"/>
  <c r="M51" i="23"/>
  <c r="M70" i="22"/>
  <c r="N70" i="22" s="1"/>
  <c r="I149" i="15"/>
  <c r="M8" i="26" l="1"/>
  <c r="N8" i="26" s="1"/>
  <c r="L8" i="27"/>
  <c r="I72" i="27"/>
  <c r="K12" i="27"/>
  <c r="K39" i="27"/>
  <c r="M39" i="27"/>
  <c r="N63" i="27"/>
  <c r="M58" i="27"/>
  <c r="N58" i="27" s="1"/>
  <c r="N62" i="26"/>
  <c r="M57" i="26"/>
  <c r="N57" i="26" s="1"/>
  <c r="L71" i="26"/>
  <c r="K71" i="26" s="1"/>
  <c r="K8" i="26"/>
  <c r="M71" i="25"/>
  <c r="N71" i="25" s="1"/>
  <c r="K71" i="25"/>
  <c r="K70" i="24"/>
  <c r="N51" i="24"/>
  <c r="M70" i="24"/>
  <c r="N70" i="24" s="1"/>
  <c r="N51" i="23"/>
  <c r="M70" i="23"/>
  <c r="N70" i="23" s="1"/>
  <c r="K70" i="23"/>
  <c r="K149" i="15"/>
  <c r="M71" i="26" l="1"/>
  <c r="N71" i="26" s="1"/>
  <c r="N12" i="27"/>
  <c r="M8" i="27"/>
  <c r="N39" i="27"/>
  <c r="M32" i="27"/>
  <c r="N32" i="27" s="1"/>
  <c r="K8" i="27"/>
  <c r="K72" i="27"/>
  <c r="G68" i="13"/>
  <c r="G69" i="13"/>
  <c r="G70" i="13"/>
  <c r="G71" i="13"/>
  <c r="G72" i="13"/>
  <c r="G73" i="13"/>
  <c r="G74" i="13"/>
  <c r="G75" i="13"/>
  <c r="G76" i="13"/>
  <c r="G67" i="13"/>
  <c r="T68" i="13"/>
  <c r="T67" i="13"/>
  <c r="T65" i="13"/>
  <c r="T62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T40" i="13"/>
  <c r="T25" i="13"/>
  <c r="G78" i="13"/>
  <c r="U78" i="13" s="1"/>
  <c r="G63" i="13"/>
  <c r="G64" i="13"/>
  <c r="U64" i="13" s="1"/>
  <c r="G65" i="13"/>
  <c r="U65" i="13" s="1"/>
  <c r="G62" i="13"/>
  <c r="G58" i="13"/>
  <c r="G51" i="13"/>
  <c r="G52" i="13"/>
  <c r="G53" i="13"/>
  <c r="G54" i="13"/>
  <c r="G55" i="13"/>
  <c r="G56" i="13"/>
  <c r="G57" i="13"/>
  <c r="T28" i="13"/>
  <c r="T29" i="13"/>
  <c r="T30" i="13"/>
  <c r="U30" i="13" s="1"/>
  <c r="U31" i="13"/>
  <c r="T32" i="13"/>
  <c r="U67" i="13" l="1"/>
  <c r="G66" i="13"/>
  <c r="G61" i="13"/>
  <c r="U61" i="13" s="1"/>
  <c r="U62" i="13"/>
  <c r="N8" i="27"/>
  <c r="M72" i="27"/>
  <c r="N72" i="27" s="1"/>
  <c r="H35" i="13"/>
  <c r="I61" i="13"/>
  <c r="H36" i="13"/>
  <c r="J38" i="13"/>
  <c r="T39" i="13"/>
  <c r="U39" i="13" s="1"/>
  <c r="J61" i="13"/>
  <c r="M61" i="13"/>
  <c r="T72" i="13"/>
  <c r="C38" i="13"/>
  <c r="C61" i="13"/>
  <c r="C66" i="13"/>
  <c r="C49" i="13"/>
  <c r="C48" i="13"/>
  <c r="C47" i="13"/>
  <c r="C34" i="13"/>
  <c r="T34" i="13" s="1"/>
  <c r="T45" i="13" l="1"/>
  <c r="K61" i="13"/>
  <c r="N61" i="13"/>
  <c r="Q61" i="13"/>
  <c r="T74" i="13"/>
  <c r="I36" i="13"/>
  <c r="J36" i="13" s="1"/>
  <c r="K36" i="13" s="1"/>
  <c r="T69" i="13"/>
  <c r="T73" i="13"/>
  <c r="S61" i="13"/>
  <c r="T70" i="13"/>
  <c r="P61" i="13"/>
  <c r="I35" i="13"/>
  <c r="T75" i="13"/>
  <c r="T27" i="13"/>
  <c r="U27" i="13" s="1"/>
  <c r="R61" i="13"/>
  <c r="T64" i="13"/>
  <c r="H61" i="13"/>
  <c r="T63" i="13"/>
  <c r="O61" i="13"/>
  <c r="C43" i="13"/>
  <c r="L61" i="13"/>
  <c r="T26" i="13"/>
  <c r="T71" i="13"/>
  <c r="T48" i="13" l="1"/>
  <c r="T24" i="13"/>
  <c r="J35" i="13"/>
  <c r="K35" i="13" s="1"/>
  <c r="J43" i="13"/>
  <c r="K43" i="13"/>
  <c r="H43" i="13"/>
  <c r="I43" i="13"/>
  <c r="L36" i="13"/>
  <c r="M36" i="13" s="1"/>
  <c r="T49" i="13"/>
  <c r="N36" i="13" l="1"/>
  <c r="L35" i="13"/>
  <c r="T47" i="13"/>
  <c r="L43" i="13"/>
  <c r="M43" i="13"/>
  <c r="O36" i="13" l="1"/>
  <c r="M35" i="13"/>
  <c r="N43" i="13"/>
  <c r="P36" i="13" l="1"/>
  <c r="N35" i="13"/>
  <c r="O43" i="13"/>
  <c r="Q43" i="13" l="1"/>
  <c r="Q36" i="13"/>
  <c r="O35" i="13"/>
  <c r="P35" i="13" s="1"/>
  <c r="P43" i="13"/>
  <c r="R43" i="13" l="1"/>
  <c r="R36" i="13"/>
  <c r="S36" i="13" s="1"/>
  <c r="Q35" i="13"/>
  <c r="R35" i="13" s="1"/>
  <c r="S35" i="13" s="1"/>
  <c r="T35" i="13" s="1"/>
  <c r="N77" i="13"/>
  <c r="O77" i="13"/>
  <c r="P77" i="13"/>
  <c r="Q77" i="13"/>
  <c r="R77" i="13"/>
  <c r="S77" i="13"/>
  <c r="T77" i="13"/>
  <c r="M77" i="13"/>
  <c r="G77" i="13"/>
  <c r="U77" i="13" s="1"/>
  <c r="I77" i="13"/>
  <c r="J77" i="13"/>
  <c r="K77" i="13"/>
  <c r="L77" i="13"/>
  <c r="E77" i="13"/>
  <c r="E79" i="13" s="1"/>
  <c r="F77" i="13"/>
  <c r="D77" i="13"/>
  <c r="F66" i="13"/>
  <c r="E66" i="13"/>
  <c r="D66" i="13"/>
  <c r="E61" i="13"/>
  <c r="D61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E16" i="13"/>
  <c r="C13" i="13"/>
  <c r="C16" i="13" s="1"/>
  <c r="G12" i="13"/>
  <c r="G11" i="13"/>
  <c r="G10" i="13"/>
  <c r="G9" i="13"/>
  <c r="G8" i="13"/>
  <c r="T51" i="13" l="1"/>
  <c r="H11" i="13"/>
  <c r="I11" i="13" s="1"/>
  <c r="L8" i="13"/>
  <c r="P8" i="13"/>
  <c r="H8" i="13"/>
  <c r="I8" i="13"/>
  <c r="M8" i="13"/>
  <c r="Q8" i="13"/>
  <c r="J8" i="13"/>
  <c r="N8" i="13"/>
  <c r="R8" i="13"/>
  <c r="K8" i="13"/>
  <c r="O8" i="13"/>
  <c r="S8" i="13"/>
  <c r="H9" i="13"/>
  <c r="I9" i="13" s="1"/>
  <c r="H10" i="13"/>
  <c r="I10" i="13" s="1"/>
  <c r="H12" i="13"/>
  <c r="I12" i="13" s="1"/>
  <c r="T36" i="13"/>
  <c r="C79" i="13"/>
  <c r="C37" i="13"/>
  <c r="D79" i="13"/>
  <c r="F23" i="13"/>
  <c r="G13" i="13"/>
  <c r="G16" i="13" s="1"/>
  <c r="P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Q33" i="13"/>
  <c r="H42" i="13"/>
  <c r="P42" i="13"/>
  <c r="P38" i="13" s="1"/>
  <c r="O42" i="13"/>
  <c r="O38" i="13" s="1"/>
  <c r="G79" i="13"/>
  <c r="Q23" i="13"/>
  <c r="L37" i="13"/>
  <c r="Q76" i="13"/>
  <c r="R76" i="13"/>
  <c r="S43" i="13" l="1"/>
  <c r="J12" i="13"/>
  <c r="J9" i="13"/>
  <c r="I13" i="13"/>
  <c r="I16" i="13"/>
  <c r="J10" i="13"/>
  <c r="H16" i="13"/>
  <c r="H13" i="13"/>
  <c r="T8" i="13"/>
  <c r="J11" i="13"/>
  <c r="H33" i="13"/>
  <c r="T43" i="13"/>
  <c r="H38" i="13"/>
  <c r="R33" i="13"/>
  <c r="F79" i="13"/>
  <c r="O33" i="13"/>
  <c r="R23" i="13"/>
  <c r="J66" i="13"/>
  <c r="M66" i="13"/>
  <c r="Q66" i="13"/>
  <c r="R66" i="13"/>
  <c r="S76" i="13"/>
  <c r="T76" i="13" s="1"/>
  <c r="T66" i="13" s="1"/>
  <c r="U66" i="13" s="1"/>
  <c r="I66" i="13"/>
  <c r="N66" i="13"/>
  <c r="Q37" i="13"/>
  <c r="L33" i="13"/>
  <c r="I37" i="13"/>
  <c r="R37" i="13"/>
  <c r="N23" i="13"/>
  <c r="H23" i="13"/>
  <c r="K33" i="13"/>
  <c r="M37" i="13"/>
  <c r="M23" i="13"/>
  <c r="O23" i="13"/>
  <c r="H66" i="13"/>
  <c r="O37" i="13"/>
  <c r="I23" i="13"/>
  <c r="J37" i="13"/>
  <c r="M33" i="13"/>
  <c r="K23" i="13"/>
  <c r="O66" i="13"/>
  <c r="K37" i="13"/>
  <c r="S42" i="13"/>
  <c r="S38" i="13" s="1"/>
  <c r="P37" i="13"/>
  <c r="I33" i="13"/>
  <c r="P23" i="13"/>
  <c r="L66" i="13"/>
  <c r="P66" i="13"/>
  <c r="K66" i="13"/>
  <c r="N37" i="13"/>
  <c r="J23" i="13"/>
  <c r="S23" i="13"/>
  <c r="L23" i="13"/>
  <c r="H79" i="13" l="1"/>
  <c r="J13" i="13"/>
  <c r="J16" i="13" s="1"/>
  <c r="K11" i="13"/>
  <c r="L12" i="13"/>
  <c r="K9" i="13"/>
  <c r="L9" i="13" s="1"/>
  <c r="K10" i="13"/>
  <c r="L10" i="13" s="1"/>
  <c r="K12" i="13"/>
  <c r="T42" i="13"/>
  <c r="T38" i="13" s="1"/>
  <c r="U38" i="13" s="1"/>
  <c r="H37" i="13"/>
  <c r="P79" i="13"/>
  <c r="S33" i="13"/>
  <c r="K79" i="13"/>
  <c r="Q79" i="13"/>
  <c r="I79" i="13"/>
  <c r="R79" i="13"/>
  <c r="M79" i="13"/>
  <c r="S37" i="13"/>
  <c r="T23" i="13"/>
  <c r="U23" i="13" s="1"/>
  <c r="O79" i="13"/>
  <c r="J79" i="13"/>
  <c r="L79" i="13"/>
  <c r="N79" i="13"/>
  <c r="T33" i="13"/>
  <c r="S66" i="13"/>
  <c r="T79" i="13" l="1"/>
  <c r="U79" i="13" s="1"/>
  <c r="T37" i="13"/>
  <c r="U37" i="13" s="1"/>
  <c r="M10" i="13"/>
  <c r="K13" i="13"/>
  <c r="K16" i="13" s="1"/>
  <c r="M12" i="13"/>
  <c r="N12" i="13" s="1"/>
  <c r="M9" i="13"/>
  <c r="N9" i="13" s="1"/>
  <c r="L11" i="13"/>
  <c r="S79" i="13"/>
  <c r="L13" i="13" l="1"/>
  <c r="L16" i="13" s="1"/>
  <c r="O9" i="13"/>
  <c r="O12" i="13"/>
  <c r="M11" i="13"/>
  <c r="N11" i="13" s="1"/>
  <c r="N10" i="13"/>
  <c r="J8" i="9"/>
  <c r="M13" i="13" l="1"/>
  <c r="M16" i="13" s="1"/>
  <c r="O11" i="13"/>
  <c r="N13" i="13"/>
  <c r="N16" i="13" s="1"/>
  <c r="P12" i="13"/>
  <c r="O10" i="13"/>
  <c r="P9" i="13"/>
  <c r="Q9" i="13" s="1"/>
  <c r="M63" i="9"/>
  <c r="H63" i="9"/>
  <c r="M62" i="9"/>
  <c r="H62" i="9"/>
  <c r="N62" i="9" s="1"/>
  <c r="L61" i="9"/>
  <c r="K61" i="9"/>
  <c r="J61" i="9"/>
  <c r="I61" i="9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F8" i="9"/>
  <c r="E8" i="9"/>
  <c r="D8" i="9"/>
  <c r="C8" i="9"/>
  <c r="F64" i="9" l="1"/>
  <c r="P10" i="13"/>
  <c r="C64" i="9"/>
  <c r="Q12" i="13"/>
  <c r="R12" i="13" s="1"/>
  <c r="M61" i="9"/>
  <c r="R9" i="13"/>
  <c r="O13" i="13"/>
  <c r="O16" i="13" s="1"/>
  <c r="P11" i="13"/>
  <c r="E64" i="9"/>
  <c r="H50" i="9"/>
  <c r="H61" i="9"/>
  <c r="H18" i="9"/>
  <c r="H8" i="9"/>
  <c r="N42" i="9"/>
  <c r="O42" i="9" s="1"/>
  <c r="G22" i="9"/>
  <c r="G64" i="9" s="1"/>
  <c r="H27" i="9"/>
  <c r="J27" i="9"/>
  <c r="J64" i="9" s="1"/>
  <c r="N63" i="9"/>
  <c r="H45" i="9"/>
  <c r="S12" i="13" l="1"/>
  <c r="T12" i="13" s="1"/>
  <c r="Q10" i="13"/>
  <c r="P13" i="13"/>
  <c r="P16" i="13" s="1"/>
  <c r="Q11" i="13"/>
  <c r="R11" i="13" s="1"/>
  <c r="S11" i="13" s="1"/>
  <c r="S9" i="13"/>
  <c r="N61" i="9"/>
  <c r="H22" i="9"/>
  <c r="H64" i="9" s="1"/>
  <c r="Q13" i="13" l="1"/>
  <c r="Q16" i="13" s="1"/>
  <c r="T11" i="13"/>
  <c r="R10" i="13"/>
  <c r="T9" i="13"/>
  <c r="K49" i="9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S10" i="13" l="1"/>
  <c r="S13" i="13" s="1"/>
  <c r="S16" i="13" s="1"/>
  <c r="R13" i="13"/>
  <c r="R16" i="13" s="1"/>
  <c r="T16" i="13" s="1"/>
  <c r="T10" i="13"/>
  <c r="T13" i="13" s="1"/>
  <c r="N19" i="9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<sst xmlns="http://schemas.openxmlformats.org/spreadsheetml/2006/main" count="2388" uniqueCount="321">
  <si>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</si>
  <si>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</si>
  <si>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</si>
  <si>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</si>
  <si>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</si>
  <si>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</si>
  <si>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</si>
  <si>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</si>
  <si>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</si>
  <si>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</si>
  <si>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</si>
  <si>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</si>
  <si>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</si>
  <si>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</si>
  <si>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</si>
  <si>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</si>
  <si>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</si>
  <si>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</si>
  <si>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</si>
  <si>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</si>
  <si>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</si>
  <si>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</si>
  <si>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</si>
  <si>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</si>
  <si>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</si>
  <si>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</si>
  <si>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</si>
  <si>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</si>
  <si>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</si>
  <si>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</si>
  <si>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</si>
  <si>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</si>
  <si>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</si>
  <si>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</si>
  <si>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</si>
  <si>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</si>
  <si>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</si>
  <si>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</si>
  <si>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</si>
  <si>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</si>
  <si>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</si>
  <si>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</si>
  <si>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</si>
  <si>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</si>
  <si>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</si>
  <si>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</si>
  <si>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</si>
  <si>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</si>
  <si>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</si>
  <si>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</si>
  <si>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</si>
  <si>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</si>
  <si>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</si>
  <si>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</si>
  <si>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</si>
  <si>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</si>
  <si>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</si>
  <si>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</si>
  <si>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</si>
  <si>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</si>
  <si>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</si>
  <si>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</si>
  <si>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</si>
  <si>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</si>
  <si>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</si>
  <si>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</si>
  <si>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</si>
  <si>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</si>
  <si>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</si>
  <si>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</si>
  <si>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</si>
  <si>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</si>
  <si>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</si>
  <si>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</si>
  <si>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</si>
  <si>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</si>
  <si>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</si>
  <si>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</si>
  <si>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</si>
  <si>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</si>
  <si>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</si>
  <si>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</si>
  <si>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</si>
  <si>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</si>
  <si>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</si>
  <si>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</si>
  <si>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</si>
  <si>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</si>
  <si>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</si>
  <si>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</si>
  <si>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</si>
  <si>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</si>
  <si>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</si>
  <si>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</si>
  <si>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</si>
  <si>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</si>
  <si>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</si>
  <si>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</si>
  <si>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</si>
  <si>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</si>
  <si>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</si>
  <si>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</si>
  <si>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</si>
  <si>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</si>
  <si>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</si>
  <si>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</si>
  <si>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</si>
  <si>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</si>
  <si>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</si>
  <si>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</si>
  <si>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</si>
  <si>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</si>
  <si>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</si>
  <si>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</si>
  <si>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</si>
  <si>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</si>
  <si>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</si>
  <si>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</si>
  <si>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</si>
  <si>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</si>
  <si>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</si>
  <si>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</si>
  <si>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</si>
  <si>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</si>
  <si>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</si>
  <si>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</si>
  <si>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</si>
  <si>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</si>
  <si>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</si>
  <si>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</si>
  <si>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</si>
  <si>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</si>
  <si>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</si>
  <si>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</si>
  <si>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</si>
  <si>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</si>
  <si>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</si>
  <si>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</si>
  <si>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</si>
  <si>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</si>
  <si>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</si>
  <si>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</si>
  <si>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</si>
  <si>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</si>
  <si>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</si>
  <si>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</si>
  <si>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</si>
  <si>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</si>
  <si>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</si>
  <si>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</si>
  <si>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</si>
  <si>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</si>
  <si>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</si>
  <si>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</si>
  <si>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</si>
  <si>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</si>
  <si>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</si>
  <si>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</si>
  <si>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</si>
  <si>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</si>
  <si>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</si>
  <si>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</si>
  <si>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</si>
  <si>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</si>
  <si>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</si>
  <si>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</si>
  <si>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</si>
  <si>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</si>
  <si>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</si>
  <si>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</si>
  <si>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</si>
  <si>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</si>
  <si>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</si>
  <si>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</si>
  <si>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</si>
  <si>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</si>
  <si>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</si>
  <si>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</si>
  <si>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</si>
  <si>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</si>
  <si>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</si>
  <si>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</si>
  <si>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</si>
  <si>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</si>
  <si>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</si>
  <si>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</si>
  <si>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</si>
  <si>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</si>
  <si>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</si>
  <si>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</si>
  <si>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</si>
  <si>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</si>
  <si>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</si>
  <si>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</si>
  <si>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</si>
  <si>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</si>
  <si>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</si>
  <si>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</si>
  <si>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</si>
  <si>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</si>
  <si>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</si>
  <si>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</si>
  <si>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</si>
  <si>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</si>
  <si>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</si>
  <si>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</si>
  <si>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</si>
  <si>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</si>
  <si>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</si>
  <si>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</si>
  <si>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</si>
  <si>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</si>
  <si>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</si>
  <si>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</si>
  <si>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</si>
  <si>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</si>
  <si>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</si>
  <si>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</si>
  <si>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</si>
  <si>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</si>
  <si>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</si>
  <si>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</si>
  <si>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</si>
  <si>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</si>
  <si>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</si>
  <si>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</si>
  <si>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</si>
  <si>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</si>
  <si>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</si>
  <si>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</si>
  <si>
    <t>ABRIL DE 2018</t>
  </si>
  <si>
    <t>ADICION RES 30-2018</t>
  </si>
  <si>
    <t>ADICION RES 30+-2018</t>
  </si>
  <si>
    <t>ADICION RES 30 - 2018</t>
  </si>
  <si>
    <t>COSTOS ENERO A ABRIL</t>
  </si>
  <si>
    <t>MYRTHIAN ADRIANA CUESTA HERNANDEZ</t>
  </si>
  <si>
    <t>MAYO PORVENIR</t>
  </si>
  <si>
    <t>MAYO APORTES COLPENSIONES</t>
  </si>
  <si>
    <t>SATENA</t>
  </si>
  <si>
    <t>14/06/2018</t>
  </si>
  <si>
    <t>MAYO DE 2018</t>
  </si>
  <si>
    <t>SANDRA MILENA VASQUEZ MONTES</t>
  </si>
  <si>
    <t>SERVIDORES</t>
  </si>
  <si>
    <t>EDGAR PINZON CORZO</t>
  </si>
  <si>
    <t>REVERSO PAGO AVIANCA JUAN PABLO RAMIREZ PALACIO</t>
  </si>
  <si>
    <t>JUNIO DE 2018</t>
  </si>
  <si>
    <t>MARY LUCY CASTRO HERRERA - LIQUIDACION</t>
  </si>
  <si>
    <t>MARY LUCY CASTRO HERRERA- LIQUIDACION</t>
  </si>
  <si>
    <t>MARY LUCY CASTRO REY- LIQUIDACIÓN</t>
  </si>
  <si>
    <t>FUNDATER APERADOR LOGISTO</t>
  </si>
  <si>
    <t>EDGAR JAIR NEIRA SABOGAL</t>
  </si>
  <si>
    <t>CONTRATO 011-2018</t>
  </si>
  <si>
    <t>AJUSTE</t>
  </si>
  <si>
    <t>CONTRATO 009-2018 MANTENIMIENTO AIRES</t>
  </si>
  <si>
    <t>CONTRATO 010-18  4-72</t>
  </si>
  <si>
    <t>AJUSTES</t>
  </si>
  <si>
    <t>ajuste</t>
  </si>
  <si>
    <t>julio</t>
  </si>
  <si>
    <t>Julio</t>
  </si>
  <si>
    <t>JUAN CARLOS CONTRERAS</t>
  </si>
  <si>
    <t>CONTRATO012-2018</t>
  </si>
  <si>
    <t>JULIO DE 2018</t>
  </si>
  <si>
    <t>AGOSTO DE 2018</t>
  </si>
  <si>
    <t>TRASLADO RESOLUCION 88</t>
  </si>
  <si>
    <t>TRASLADO RES 88-2018</t>
  </si>
  <si>
    <t>TRASLADO RES 94-2018</t>
  </si>
  <si>
    <t>CREDITO RESOLUCION 88</t>
  </si>
  <si>
    <t>CREDITO RESOLUCION 94-2018</t>
  </si>
  <si>
    <t>CONTRACREDITO RESOLUCION 94-2018</t>
  </si>
  <si>
    <t>ELIZABETH JOANA BARRETO COSTA</t>
  </si>
  <si>
    <t>AVIANCA SA - COMISION CALI</t>
  </si>
  <si>
    <t>CONTRATO 014</t>
  </si>
  <si>
    <t>CONTRATO 15</t>
  </si>
  <si>
    <t>FUNDACION TRIBUBA JURIDICA</t>
  </si>
  <si>
    <t>TRASLADO RESOLUCION 94-2018</t>
  </si>
  <si>
    <t>RESOLUCIÓN No. 094</t>
  </si>
  <si>
    <t>30-0ct-18</t>
  </si>
  <si>
    <t>AGOSTO-SEPTIEMBRE</t>
  </si>
  <si>
    <t>SEPTIEMBRE DE 2018</t>
  </si>
  <si>
    <t>OCTUBRE DE 2018</t>
  </si>
  <si>
    <t>RESOLUCION</t>
  </si>
  <si>
    <t>TRASLADO RES 104-18</t>
  </si>
  <si>
    <t>TRASLADO RES 104-2018</t>
  </si>
  <si>
    <t>CONTRATO  016 OSCAR</t>
  </si>
  <si>
    <t>noviembre</t>
  </si>
  <si>
    <t xml:space="preserve"> CREDITO RES 104-18</t>
  </si>
  <si>
    <t>NOVIWEMBRE</t>
  </si>
  <si>
    <t>NOVIEMBE</t>
  </si>
  <si>
    <t>NOVIEMBRE DE 2018</t>
  </si>
  <si>
    <t>CONTRATO 017 -2018</t>
  </si>
  <si>
    <t>FUNCIONARIOS</t>
  </si>
  <si>
    <t>CREDITO RESOLUCION 114-2018</t>
  </si>
  <si>
    <t>TRASLADO RES 114-18</t>
  </si>
  <si>
    <t>saldos</t>
  </si>
  <si>
    <t>DICIEMBRE DE 2018</t>
  </si>
  <si>
    <t>CONTRATO 018</t>
  </si>
  <si>
    <t>PAGO CESANTIAS 2018</t>
  </si>
  <si>
    <t>RES 114-18</t>
  </si>
  <si>
    <t>RES 114-2018</t>
  </si>
  <si>
    <t>ADICION CONTRATO 009-18</t>
  </si>
  <si>
    <t>TRASLADO RES. 114-18</t>
  </si>
  <si>
    <t>CREDITO RESOLUCIÓN 114-158</t>
  </si>
  <si>
    <t>TRASLADO RESOLUCION 114-2018</t>
  </si>
  <si>
    <t>CONTRATO 020</t>
  </si>
  <si>
    <t>TRASLADO</t>
  </si>
  <si>
    <t>TRASLADO RES 114/2018</t>
  </si>
  <si>
    <t>TRASLADO RES 114-2018</t>
  </si>
  <si>
    <t>CONTRATO  021-2018</t>
  </si>
  <si>
    <t>VACACIONES</t>
  </si>
  <si>
    <t>ROLBON ANDRES  GOMEZ GUTIERREZ</t>
  </si>
  <si>
    <t>CREDIRO RES 114-2018</t>
  </si>
  <si>
    <t>CREDITO RES 114-2018</t>
  </si>
  <si>
    <t>CONTRATO 23-2018</t>
  </si>
  <si>
    <t>CONTRATO 22-2018</t>
  </si>
  <si>
    <t>ADICION RES 114-18</t>
  </si>
  <si>
    <t>CONTRATO 019-2018 OSCAR SOLANO</t>
  </si>
  <si>
    <t>CREDITO RESOLUCION 125-2018</t>
  </si>
  <si>
    <t>TRASLADO RES 125/2018</t>
  </si>
  <si>
    <t>CUENTAS POR PGAR</t>
  </si>
  <si>
    <t>CREDITO 125-18</t>
  </si>
  <si>
    <t>TRASLADO RESOLUCION 125-2018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</si>
</sst>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[$-409]d\-mmm\-yy;@"/>
  </numFmts>
  <fonts count="3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447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6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6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6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6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6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6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6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6" fontId="10" fillId="5" borderId="1" xfId="4" applyNumberFormat="1" applyFont="1" applyFill="1" applyBorder="1"/>
    <xf numFmtId="3" fontId="2" fillId="0" borderId="0" xfId="1" applyNumberFormat="1"/>
    <xf numFmtId="166" fontId="0" fillId="0" borderId="0" xfId="4" applyNumberFormat="1" applyFont="1"/>
    <xf numFmtId="3" fontId="11" fillId="0" borderId="0" xfId="1" applyNumberFormat="1" applyFont="1"/>
    <xf numFmtId="166" fontId="10" fillId="2" borderId="1" xfId="2" applyNumberFormat="1" applyFont="1" applyFill="1" applyBorder="1"/>
    <xf numFmtId="166" fontId="12" fillId="2" borderId="1" xfId="2" applyNumberFormat="1" applyFont="1" applyFill="1" applyBorder="1"/>
    <xf numFmtId="166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6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6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6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6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6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6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6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41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41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41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10" fillId="2" borderId="1" xfId="11" applyFont="1" applyFill="1" applyBorder="1" applyAlignment="1">
      <alignment horizontal="right" vertical="center"/>
    </xf>
    <xf numFmtId="41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41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41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41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41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0" fontId="13" fillId="0" borderId="0" xfId="5" applyFont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41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2" xfId="1" applyFont="1" applyFill="1" applyBorder="1" applyAlignment="1">
      <alignment vertical="center"/>
    </xf>
    <xf numFmtId="3" fontId="25" fillId="14" borderId="1" xfId="1" applyNumberFormat="1" applyFont="1" applyFill="1" applyBorder="1" applyAlignment="1">
      <alignment horizontal="right"/>
    </xf>
    <xf numFmtId="0" fontId="8" fillId="14" borderId="1" xfId="1" applyFont="1" applyFill="1" applyBorder="1" applyAlignment="1">
      <alignment horizontal="left"/>
    </xf>
    <xf numFmtId="41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3" fontId="8" fillId="14" borderId="1" xfId="5" applyNumberFormat="1" applyFont="1" applyFill="1" applyBorder="1"/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41" fontId="18" fillId="13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41" fontId="7" fillId="14" borderId="1" xfId="5" applyNumberFormat="1" applyFont="1" applyFill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41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41" fontId="7" fillId="14" borderId="1" xfId="11" applyFont="1" applyFill="1" applyBorder="1" applyAlignment="1">
      <alignment horizontal="right" vertical="center"/>
    </xf>
    <xf numFmtId="41" fontId="20" fillId="0" borderId="5" xfId="11" applyFont="1" applyBorder="1"/>
    <xf numFmtId="41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41" fontId="8" fillId="6" borderId="2" xfId="11" applyFont="1" applyFill="1" applyBorder="1" applyAlignment="1">
      <alignment horizontal="left" vertical="center" wrapText="1"/>
    </xf>
    <xf numFmtId="41" fontId="8" fillId="5" borderId="2" xfId="11" applyFont="1" applyFill="1" applyBorder="1" applyAlignment="1">
      <alignment horizontal="left" vertical="center" wrapText="1"/>
    </xf>
    <xf numFmtId="41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41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41" fontId="14" fillId="10" borderId="32" xfId="1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41" fontId="2" fillId="0" borderId="0" xfId="11" applyFont="1"/>
    <xf numFmtId="0" fontId="18" fillId="13" borderId="1" xfId="1" applyFont="1" applyFill="1" applyBorder="1" applyAlignment="1">
      <alignment horizontal="left"/>
    </xf>
    <xf numFmtId="41" fontId="26" fillId="13" borderId="1" xfId="11" applyFont="1" applyFill="1" applyBorder="1"/>
    <xf numFmtId="3" fontId="7" fillId="14" borderId="28" xfId="5" applyNumberFormat="1" applyFont="1" applyFill="1" applyBorder="1"/>
    <xf numFmtId="0" fontId="2" fillId="0" borderId="2" xfId="5" applyFont="1" applyBorder="1"/>
    <xf numFmtId="0" fontId="2" fillId="16" borderId="1" xfId="1" applyFont="1" applyFill="1" applyBorder="1" applyAlignment="1">
      <alignment horizontal="left"/>
    </xf>
    <xf numFmtId="167" fontId="17" fillId="10" borderId="29" xfId="5" applyNumberFormat="1" applyFont="1" applyFill="1" applyBorder="1" applyAlignment="1">
      <alignment wrapText="1"/>
    </xf>
    <xf numFmtId="167" fontId="4" fillId="15" borderId="34" xfId="5" applyNumberFormat="1" applyFont="1" applyFill="1" applyBorder="1" applyAlignment="1">
      <alignment wrapText="1"/>
    </xf>
    <xf numFmtId="167" fontId="18" fillId="13" borderId="28" xfId="1" applyNumberFormat="1" applyFont="1" applyFill="1" applyBorder="1" applyAlignment="1">
      <alignment horizontal="left" vertical="center"/>
    </xf>
    <xf numFmtId="167" fontId="7" fillId="14" borderId="28" xfId="5" applyNumberFormat="1" applyFont="1" applyFill="1" applyBorder="1"/>
    <xf numFmtId="167" fontId="2" fillId="0" borderId="1" xfId="5" applyNumberFormat="1" applyFont="1" applyBorder="1"/>
    <xf numFmtId="167" fontId="2" fillId="0" borderId="28" xfId="5" applyNumberFormat="1" applyFont="1" applyBorder="1"/>
    <xf numFmtId="167" fontId="4" fillId="14" borderId="28" xfId="5" applyNumberFormat="1" applyFont="1" applyFill="1" applyBorder="1"/>
    <xf numFmtId="167" fontId="2" fillId="0" borderId="28" xfId="5" applyNumberFormat="1" applyFont="1" applyFill="1" applyBorder="1"/>
    <xf numFmtId="167" fontId="18" fillId="13" borderId="1" xfId="5" applyNumberFormat="1" applyFont="1" applyFill="1" applyBorder="1"/>
    <xf numFmtId="167" fontId="4" fillId="0" borderId="28" xfId="5" applyNumberFormat="1" applyFont="1" applyBorder="1"/>
    <xf numFmtId="167" fontId="2" fillId="14" borderId="28" xfId="5" applyNumberFormat="1" applyFont="1" applyFill="1" applyBorder="1"/>
    <xf numFmtId="167" fontId="18" fillId="15" borderId="28" xfId="5" applyNumberFormat="1" applyFont="1" applyFill="1" applyBorder="1"/>
    <xf numFmtId="167" fontId="3" fillId="13" borderId="28" xfId="5" applyNumberFormat="1" applyFont="1" applyFill="1" applyBorder="1"/>
    <xf numFmtId="167" fontId="2" fillId="0" borderId="0" xfId="5" applyNumberFormat="1" applyFont="1"/>
    <xf numFmtId="167" fontId="8" fillId="14" borderId="28" xfId="5" applyNumberFormat="1" applyFont="1" applyFill="1" applyBorder="1"/>
    <xf numFmtId="167" fontId="2" fillId="0" borderId="28" xfId="5" applyNumberFormat="1" applyFont="1" applyBorder="1" applyAlignment="1">
      <alignment horizontal="right"/>
    </xf>
    <xf numFmtId="167" fontId="18" fillId="13" borderId="28" xfId="5" applyNumberFormat="1" applyFont="1" applyFill="1" applyBorder="1"/>
    <xf numFmtId="167" fontId="2" fillId="0" borderId="2" xfId="5" applyNumberFormat="1" applyFont="1" applyBorder="1"/>
    <xf numFmtId="167" fontId="18" fillId="13" borderId="28" xfId="5" applyNumberFormat="1" applyFont="1" applyFill="1" applyBorder="1" applyAlignment="1">
      <alignment wrapText="1"/>
    </xf>
    <xf numFmtId="167" fontId="7" fillId="13" borderId="28" xfId="5" applyNumberFormat="1" applyFont="1" applyFill="1" applyBorder="1"/>
    <xf numFmtId="167" fontId="2" fillId="0" borderId="35" xfId="5" applyNumberFormat="1" applyFont="1" applyBorder="1"/>
    <xf numFmtId="167" fontId="17" fillId="10" borderId="31" xfId="5" applyNumberFormat="1" applyFont="1" applyFill="1" applyBorder="1"/>
    <xf numFmtId="0" fontId="4" fillId="0" borderId="1" xfId="1" applyFont="1" applyBorder="1"/>
    <xf numFmtId="3" fontId="2" fillId="18" borderId="1" xfId="5" applyNumberFormat="1" applyFont="1" applyFill="1" applyBorder="1"/>
    <xf numFmtId="3" fontId="2" fillId="17" borderId="1" xfId="5" applyNumberFormat="1" applyFont="1" applyFill="1" applyBorder="1"/>
    <xf numFmtId="3" fontId="2" fillId="17" borderId="0" xfId="5" applyNumberFormat="1" applyFont="1" applyFill="1" applyBorder="1"/>
    <xf numFmtId="3" fontId="2" fillId="18" borderId="0" xfId="5" applyNumberFormat="1" applyFont="1" applyFill="1" applyBorder="1"/>
    <xf numFmtId="3" fontId="2" fillId="16" borderId="1" xfId="5" applyNumberFormat="1" applyFont="1" applyFill="1" applyBorder="1"/>
    <xf numFmtId="167" fontId="4" fillId="19" borderId="28" xfId="5" applyNumberFormat="1" applyFont="1" applyFill="1" applyBorder="1"/>
    <xf numFmtId="0" fontId="4" fillId="19" borderId="1" xfId="1" applyFont="1" applyFill="1" applyBorder="1" applyAlignment="1">
      <alignment horizontal="left"/>
    </xf>
    <xf numFmtId="41" fontId="2" fillId="0" borderId="1" xfId="11" applyFont="1" applyBorder="1"/>
    <xf numFmtId="41" fontId="4" fillId="17" borderId="1" xfId="11" applyFont="1" applyFill="1" applyBorder="1"/>
    <xf numFmtId="41" fontId="2" fillId="17" borderId="0" xfId="11" applyFont="1" applyFill="1"/>
    <xf numFmtId="167" fontId="2" fillId="19" borderId="28" xfId="5" applyNumberFormat="1" applyFont="1" applyFill="1" applyBorder="1"/>
    <xf numFmtId="0" fontId="2" fillId="19" borderId="1" xfId="1" applyFont="1" applyFill="1" applyBorder="1" applyAlignment="1">
      <alignment horizontal="left"/>
    </xf>
    <xf numFmtId="0" fontId="2" fillId="19" borderId="1" xfId="1" applyFont="1" applyFill="1" applyBorder="1"/>
    <xf numFmtId="167" fontId="2" fillId="5" borderId="28" xfId="5" applyNumberFormat="1" applyFont="1" applyFill="1" applyBorder="1"/>
    <xf numFmtId="0" fontId="2" fillId="5" borderId="1" xfId="1" applyFont="1" applyFill="1" applyBorder="1" applyAlignment="1">
      <alignment horizontal="left"/>
    </xf>
    <xf numFmtId="0" fontId="2" fillId="5" borderId="1" xfId="1" applyFont="1" applyFill="1" applyBorder="1"/>
    <xf numFmtId="3" fontId="2" fillId="15" borderId="1" xfId="5" applyNumberFormat="1" applyFont="1" applyFill="1" applyBorder="1"/>
    <xf numFmtId="167" fontId="2" fillId="15" borderId="28" xfId="5" applyNumberFormat="1" applyFont="1" applyFill="1" applyBorder="1"/>
    <xf numFmtId="0" fontId="2" fillId="15" borderId="1" xfId="1" applyFont="1" applyFill="1" applyBorder="1" applyAlignment="1">
      <alignment horizontal="left"/>
    </xf>
    <xf numFmtId="41" fontId="20" fillId="15" borderId="1" xfId="11" applyFont="1" applyFill="1" applyBorder="1"/>
    <xf numFmtId="3" fontId="20" fillId="15" borderId="1" xfId="5" applyNumberFormat="1" applyFont="1" applyFill="1" applyBorder="1" applyAlignment="1">
      <alignment horizontal="right" vertical="center"/>
    </xf>
    <xf numFmtId="3" fontId="2" fillId="15" borderId="1" xfId="5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" fillId="11" borderId="1" xfId="5" applyFont="1" applyFill="1" applyBorder="1"/>
    <xf numFmtId="0" fontId="2" fillId="12" borderId="1" xfId="5" applyFont="1" applyFill="1" applyBorder="1"/>
    <xf numFmtId="167" fontId="2" fillId="21" borderId="28" xfId="5" applyNumberFormat="1" applyFont="1" applyFill="1" applyBorder="1"/>
    <xf numFmtId="0" fontId="2" fillId="21" borderId="1" xfId="1" applyFont="1" applyFill="1" applyBorder="1" applyAlignment="1">
      <alignment horizontal="left"/>
    </xf>
    <xf numFmtId="0" fontId="2" fillId="21" borderId="1" xfId="1" applyFont="1" applyFill="1" applyBorder="1"/>
    <xf numFmtId="3" fontId="17" fillId="10" borderId="36" xfId="5" applyNumberFormat="1" applyFont="1" applyFill="1" applyBorder="1" applyAlignment="1">
      <alignment wrapText="1"/>
    </xf>
    <xf numFmtId="3" fontId="4" fillId="15" borderId="4" xfId="5" applyNumberFormat="1" applyFont="1" applyFill="1" applyBorder="1" applyAlignment="1">
      <alignment horizontal="center" wrapText="1"/>
    </xf>
    <xf numFmtId="3" fontId="18" fillId="13" borderId="5" xfId="5" applyNumberFormat="1" applyFont="1" applyFill="1" applyBorder="1" applyAlignment="1">
      <alignment horizontal="right" vertical="center"/>
    </xf>
    <xf numFmtId="3" fontId="7" fillId="14" borderId="5" xfId="5" applyNumberFormat="1" applyFont="1" applyFill="1" applyBorder="1"/>
    <xf numFmtId="0" fontId="2" fillId="0" borderId="5" xfId="5" applyFont="1" applyBorder="1"/>
    <xf numFmtId="0" fontId="4" fillId="14" borderId="5" xfId="5" applyFont="1" applyFill="1" applyBorder="1"/>
    <xf numFmtId="0" fontId="2" fillId="0" borderId="5" xfId="5" applyFont="1" applyFill="1" applyBorder="1"/>
    <xf numFmtId="41" fontId="18" fillId="13" borderId="5" xfId="5" applyNumberFormat="1" applyFont="1" applyFill="1" applyBorder="1"/>
    <xf numFmtId="0" fontId="2" fillId="14" borderId="5" xfId="5" applyFont="1" applyFill="1" applyBorder="1"/>
    <xf numFmtId="3" fontId="18" fillId="15" borderId="5" xfId="5" applyNumberFormat="1" applyFont="1" applyFill="1" applyBorder="1"/>
    <xf numFmtId="3" fontId="18" fillId="13" borderId="5" xfId="5" applyNumberFormat="1" applyFont="1" applyFill="1" applyBorder="1"/>
    <xf numFmtId="3" fontId="3" fillId="13" borderId="5" xfId="5" applyNumberFormat="1" applyFont="1" applyFill="1" applyBorder="1"/>
    <xf numFmtId="3" fontId="8" fillId="14" borderId="5" xfId="5" applyNumberFormat="1" applyFont="1" applyFill="1" applyBorder="1"/>
    <xf numFmtId="0" fontId="7" fillId="14" borderId="5" xfId="5" applyFont="1" applyFill="1" applyBorder="1"/>
    <xf numFmtId="3" fontId="25" fillId="14" borderId="5" xfId="5" applyNumberFormat="1" applyFont="1" applyFill="1" applyBorder="1" applyAlignment="1">
      <alignment horizontal="right" vertical="center"/>
    </xf>
    <xf numFmtId="3" fontId="18" fillId="14" borderId="5" xfId="5" applyNumberFormat="1" applyFont="1" applyFill="1" applyBorder="1"/>
    <xf numFmtId="41" fontId="18" fillId="13" borderId="5" xfId="5" applyNumberFormat="1" applyFont="1" applyFill="1" applyBorder="1" applyAlignment="1">
      <alignment wrapText="1"/>
    </xf>
    <xf numFmtId="3" fontId="2" fillId="0" borderId="5" xfId="5" applyNumberFormat="1" applyFont="1" applyBorder="1"/>
    <xf numFmtId="41" fontId="7" fillId="14" borderId="5" xfId="5" applyNumberFormat="1" applyFont="1" applyFill="1" applyBorder="1"/>
    <xf numFmtId="0" fontId="7" fillId="13" borderId="5" xfId="5" applyFont="1" applyFill="1" applyBorder="1"/>
    <xf numFmtId="0" fontId="2" fillId="0" borderId="25" xfId="5" applyFont="1" applyBorder="1"/>
    <xf numFmtId="0" fontId="3" fillId="0" borderId="25" xfId="5" applyFont="1" applyBorder="1"/>
    <xf numFmtId="41" fontId="14" fillId="10" borderId="37" xfId="11" applyFont="1" applyFill="1" applyBorder="1"/>
    <xf numFmtId="0" fontId="4" fillId="0" borderId="1" xfId="5" applyFont="1" applyBorder="1" applyAlignment="1">
      <alignment wrapText="1"/>
    </xf>
    <xf numFmtId="3" fontId="4" fillId="20" borderId="1" xfId="5" applyNumberFormat="1" applyFont="1" applyFill="1" applyBorder="1"/>
    <xf numFmtId="3" fontId="7" fillId="20" borderId="1" xfId="5" applyNumberFormat="1" applyFont="1" applyFill="1" applyBorder="1"/>
    <xf numFmtId="0" fontId="13" fillId="5" borderId="1" xfId="5" applyFont="1" applyFill="1" applyBorder="1"/>
    <xf numFmtId="3" fontId="8" fillId="20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20" borderId="1" xfId="5" applyNumberFormat="1" applyFont="1" applyFill="1" applyBorder="1"/>
    <xf numFmtId="0" fontId="6" fillId="0" borderId="16" xfId="1" applyFont="1" applyBorder="1" applyAlignment="1">
      <alignment horizontal="left" indent="1"/>
    </xf>
    <xf numFmtId="41" fontId="2" fillId="0" borderId="19" xfId="11" applyFont="1" applyBorder="1"/>
    <xf numFmtId="41" fontId="20" fillId="0" borderId="0" xfId="11" applyFont="1" applyBorder="1"/>
    <xf numFmtId="0" fontId="7" fillId="22" borderId="1" xfId="1" applyFont="1" applyFill="1" applyBorder="1"/>
    <xf numFmtId="0" fontId="29" fillId="22" borderId="1" xfId="1" applyFont="1" applyFill="1" applyBorder="1" applyAlignment="1">
      <alignment wrapText="1"/>
    </xf>
    <xf numFmtId="0" fontId="27" fillId="22" borderId="1" xfId="0" applyFont="1" applyFill="1" applyBorder="1"/>
    <xf numFmtId="167" fontId="2" fillId="20" borderId="28" xfId="5" applyNumberFormat="1" applyFont="1" applyFill="1" applyBorder="1"/>
    <xf numFmtId="0" fontId="2" fillId="20" borderId="1" xfId="1" applyFont="1" applyFill="1" applyBorder="1" applyAlignment="1">
      <alignment horizontal="left"/>
    </xf>
    <xf numFmtId="0" fontId="2" fillId="20" borderId="1" xfId="1" applyFont="1" applyFill="1" applyBorder="1"/>
    <xf numFmtId="0" fontId="2" fillId="20" borderId="2" xfId="5" applyFont="1" applyFill="1" applyBorder="1"/>
    <xf numFmtId="0" fontId="4" fillId="20" borderId="1" xfId="1" applyFont="1" applyFill="1" applyBorder="1" applyAlignment="1">
      <alignment horizontal="left"/>
    </xf>
    <xf numFmtId="167" fontId="2" fillId="20" borderId="1" xfId="5" applyNumberFormat="1" applyFont="1" applyFill="1" applyBorder="1"/>
    <xf numFmtId="0" fontId="2" fillId="20" borderId="1" xfId="5" applyFont="1" applyFill="1" applyBorder="1" applyAlignment="1">
      <alignment horizontal="left"/>
    </xf>
    <xf numFmtId="0" fontId="2" fillId="20" borderId="1" xfId="5" applyFont="1" applyFill="1" applyBorder="1"/>
    <xf numFmtId="41" fontId="2" fillId="7" borderId="1" xfId="11" applyFont="1" applyFill="1" applyBorder="1"/>
    <xf numFmtId="167" fontId="2" fillId="20" borderId="35" xfId="5" applyNumberFormat="1" applyFont="1" applyFill="1" applyBorder="1"/>
    <xf numFmtId="0" fontId="2" fillId="20" borderId="19" xfId="1" applyFont="1" applyFill="1" applyBorder="1" applyAlignment="1">
      <alignment horizontal="left"/>
    </xf>
    <xf numFmtId="167" fontId="2" fillId="23" borderId="28" xfId="5" applyNumberFormat="1" applyFont="1" applyFill="1" applyBorder="1"/>
    <xf numFmtId="0" fontId="2" fillId="23" borderId="1" xfId="1" applyFont="1" applyFill="1" applyBorder="1" applyAlignment="1">
      <alignment horizontal="left"/>
    </xf>
    <xf numFmtId="167" fontId="2" fillId="24" borderId="28" xfId="5" applyNumberFormat="1" applyFont="1" applyFill="1" applyBorder="1"/>
    <xf numFmtId="0" fontId="2" fillId="24" borderId="1" xfId="1" applyFont="1" applyFill="1" applyBorder="1" applyAlignment="1">
      <alignment horizontal="left"/>
    </xf>
    <xf numFmtId="167" fontId="2" fillId="16" borderId="28" xfId="5" applyNumberFormat="1" applyFont="1" applyFill="1" applyBorder="1"/>
    <xf numFmtId="167" fontId="2" fillId="5" borderId="1" xfId="5" applyNumberFormat="1" applyFont="1" applyFill="1" applyBorder="1"/>
    <xf numFmtId="0" fontId="2" fillId="5" borderId="1" xfId="5" applyFont="1" applyFill="1" applyBorder="1" applyAlignment="1">
      <alignment horizontal="left"/>
    </xf>
    <xf numFmtId="0" fontId="2" fillId="5" borderId="1" xfId="5" applyFont="1" applyFill="1" applyBorder="1"/>
    <xf numFmtId="41" fontId="20" fillId="0" borderId="18" xfId="11" applyNumberFormat="1" applyFont="1" applyBorder="1"/>
    <xf numFmtId="41" fontId="20" fillId="0" borderId="38" xfId="11" applyFont="1" applyBorder="1"/>
    <xf numFmtId="3" fontId="2" fillId="12" borderId="2" xfId="1" applyNumberFormat="1" applyFont="1" applyFill="1" applyBorder="1" applyAlignment="1">
      <alignment horizontal="right"/>
    </xf>
    <xf numFmtId="3" fontId="2" fillId="7" borderId="2" xfId="5" applyNumberFormat="1" applyFont="1" applyFill="1" applyBorder="1" applyAlignment="1">
      <alignment horizontal="right" vertical="center"/>
    </xf>
    <xf numFmtId="3" fontId="10" fillId="2" borderId="2" xfId="6" applyNumberFormat="1" applyFont="1" applyFill="1" applyBorder="1" applyAlignment="1">
      <alignment horizontal="right" vertical="center"/>
    </xf>
    <xf numFmtId="3" fontId="2" fillId="0" borderId="38" xfId="5" applyNumberFormat="1" applyFont="1" applyBorder="1" applyAlignment="1">
      <alignment horizontal="right" vertical="center"/>
    </xf>
    <xf numFmtId="41" fontId="20" fillId="11" borderId="2" xfId="11" applyFont="1" applyFill="1" applyBorder="1" applyAlignment="1">
      <alignment horizontal="right" vertical="center"/>
    </xf>
    <xf numFmtId="41" fontId="2" fillId="12" borderId="1" xfId="11" applyFont="1" applyFill="1" applyBorder="1" applyAlignment="1">
      <alignment horizontal="right" vertical="center"/>
    </xf>
    <xf numFmtId="41" fontId="2" fillId="7" borderId="1" xfId="11" applyFont="1" applyFill="1" applyBorder="1" applyAlignment="1">
      <alignment horizontal="right" vertical="center"/>
    </xf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A32" zoomScale="70" zoomScaleNormal="70" zoomScaleSheetLayoutView="30" workbookViewId="0">
      <selection activeCell="E8" sqref="E8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3.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434" t="s">
        <v>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6"/>
      <c r="U2" s="102"/>
    </row>
    <row r="3" spans="1:22" x14ac:dyDescent="0.2">
      <c r="B3" s="434" t="s">
        <v>161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6"/>
      <c r="U3" s="102"/>
    </row>
    <row r="4" spans="1:22" ht="13.5" thickBot="1" x14ac:dyDescent="0.25">
      <c r="B4" s="437" t="s">
        <v>119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9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</v>
      </c>
      <c r="D23" s="153">
        <f>SUM(D24:D32)</f>
        <v>31428242</v>
      </c>
      <c r="E23" s="154">
        <f>SUM(E24:E32)</f>
        <v>203217</v>
      </c>
      <c r="F23" s="154">
        <f>SUM(F24:F32)</f>
        <v>54056882</v>
      </c>
      <c r="G23" s="154">
        <f>SUM(G24:G32)</f>
        <v>635469403</v>
      </c>
      <c r="H23" s="154">
        <f t="shared" ref="H23:T23" si="7">SUM(H24:H32)</f>
        <v>39106935</v>
      </c>
      <c r="I23" s="154">
        <f t="shared" si="7"/>
        <v>42299120</v>
      </c>
      <c r="J23" s="154">
        <f t="shared" si="7"/>
        <v>47062113</v>
      </c>
      <c r="K23" s="154">
        <f t="shared" si="7"/>
        <v>42885859</v>
      </c>
      <c r="L23" s="154">
        <f t="shared" si="7"/>
        <v>43113053</v>
      </c>
      <c r="M23" s="155">
        <f t="shared" si="7"/>
        <v>53885289</v>
      </c>
      <c r="N23" s="154">
        <f t="shared" si="7"/>
        <v>67752837</v>
      </c>
      <c r="O23" s="154">
        <f t="shared" si="7"/>
        <v>46759870</v>
      </c>
      <c r="P23" s="154">
        <f t="shared" si="7"/>
        <v>42001938</v>
      </c>
      <c r="Q23" s="154">
        <f t="shared" si="7"/>
        <v>55866941</v>
      </c>
      <c r="R23" s="154">
        <f t="shared" si="7"/>
        <v>52574518</v>
      </c>
      <c r="S23" s="154">
        <f t="shared" si="7"/>
        <v>102160930</v>
      </c>
      <c r="T23" s="152">
        <f t="shared" si="7"/>
        <v>635469403</v>
      </c>
      <c r="U23" s="116">
        <f>G23-T23</f>
        <v>0</v>
      </c>
    </row>
    <row r="24" spans="1:22" x14ac:dyDescent="0.2">
      <c r="A24" s="191" t="s">
        <v>22</v>
      </c>
      <c r="B24" s="146" t="s">
        <v>23</v>
      </c>
      <c r="C24" s="190">
        <v>510496564</v>
      </c>
      <c r="D24" s="98">
        <f>'LIBRO DE PRESUPUESTO'!F4</f>
        <v>27610765</v>
      </c>
      <c r="E24" s="99"/>
      <c r="F24" s="128">
        <f>'LIBRO DE PRESUPUESTO'!H4</f>
        <v>49489660</v>
      </c>
      <c r="G24" s="129">
        <f>ROUND((C24+D24+E24-F24),1)</f>
        <v>488617669</v>
      </c>
      <c r="H24" s="130">
        <f>'LIBRO DE PRESUPUESTO'!J7</f>
        <v>33440088</v>
      </c>
      <c r="I24" s="130">
        <f>'LIBRO DE PRESUPUESTO'!J8</f>
        <v>39390167</v>
      </c>
      <c r="J24" s="130">
        <f>'LIBRO DE PRESUPUESTO'!J10</f>
        <v>46905281</v>
      </c>
      <c r="K24" s="130">
        <f>'LIBRO DE PRESUPUESTO'!J11</f>
        <v>41895206</v>
      </c>
      <c r="L24" s="130">
        <f>'LIBRO DE PRESUPUESTO'!J12</f>
        <v>41895205</v>
      </c>
      <c r="M24" s="130">
        <f>'LIBRO DE PRESUPUESTO'!J13</f>
        <v>38738117</v>
      </c>
      <c r="N24" s="130">
        <f>'LIBRO DE PRESUPUESTO'!J14+'LIBRO DE PRESUPUESTO'!J15</f>
        <v>40207738</v>
      </c>
      <c r="O24" s="130">
        <f>'LIBRO DE PRESUPUESTO'!J16</f>
        <v>41853557</v>
      </c>
      <c r="P24" s="130">
        <f>'LIBRO DE PRESUPUESTO'!J18</f>
        <v>41853557</v>
      </c>
      <c r="Q24" s="130">
        <f>'LIBRO DE PRESUPUESTO'!J19</f>
        <v>41853557</v>
      </c>
      <c r="R24" s="130">
        <f>'LIBRO DE PRESUPUESTO'!J21</f>
        <v>41853557</v>
      </c>
      <c r="S24" s="130">
        <f>'LIBRO DE PRESUPUESTO'!J23</f>
        <v>38731639</v>
      </c>
      <c r="T24" s="132">
        <f>SUM(H24:S24)</f>
        <v>488617669</v>
      </c>
      <c r="U24" s="116">
        <f t="shared" ref="U24:U79" si="8">G24-T24</f>
        <v>0</v>
      </c>
    </row>
    <row r="25" spans="1:22" hidden="1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>
        <f t="shared" si="8"/>
        <v>0</v>
      </c>
    </row>
    <row r="26" spans="1:22" x14ac:dyDescent="0.2">
      <c r="A26" s="191" t="s">
        <v>26</v>
      </c>
      <c r="B26" s="146" t="s">
        <v>27</v>
      </c>
      <c r="C26" s="190">
        <v>1077494</v>
      </c>
      <c r="D26" s="98"/>
      <c r="E26" s="99"/>
      <c r="F26" s="100">
        <f>'LIBRO DE PRESUPUESTO'!H29</f>
        <v>48366</v>
      </c>
      <c r="G26" s="129">
        <f t="shared" si="9"/>
        <v>1029128</v>
      </c>
      <c r="H26" s="130">
        <f>'LIBRO DE PRESUPUESTO'!J30+'LIBRO DE PRESUPUESTO'!J31</f>
        <v>55427</v>
      </c>
      <c r="I26" s="130">
        <f>'LIBRO DE PRESUPUESTO'!J32</f>
        <v>83140</v>
      </c>
      <c r="J26" s="130">
        <f>'LIBRO DE PRESUPUESTO'!J33</f>
        <v>96662</v>
      </c>
      <c r="K26" s="130">
        <f>'LIBRO DE PRESUPUESTO'!J34</f>
        <v>88211</v>
      </c>
      <c r="L26" s="130">
        <v>88211</v>
      </c>
      <c r="M26" s="130">
        <v>88211</v>
      </c>
      <c r="N26" s="130">
        <v>88211</v>
      </c>
      <c r="O26" s="130">
        <v>88211</v>
      </c>
      <c r="P26" s="130">
        <v>88211</v>
      </c>
      <c r="Q26" s="130">
        <v>88211</v>
      </c>
      <c r="R26" s="130">
        <v>88211</v>
      </c>
      <c r="S26" s="130">
        <v>88211</v>
      </c>
      <c r="T26" s="132">
        <f t="shared" si="10"/>
        <v>1029128</v>
      </c>
      <c r="U26" s="116">
        <f t="shared" si="8"/>
        <v>0</v>
      </c>
    </row>
    <row r="27" spans="1:22" x14ac:dyDescent="0.2">
      <c r="A27" s="191">
        <v>2020110104</v>
      </c>
      <c r="B27" s="146" t="s">
        <v>29</v>
      </c>
      <c r="C27" s="190">
        <v>1484050</v>
      </c>
      <c r="D27" s="98"/>
      <c r="E27" s="99"/>
      <c r="F27" s="100">
        <f>'LIBRO DE PRESUPUESTO'!H45</f>
        <v>693818</v>
      </c>
      <c r="G27" s="129">
        <f t="shared" si="9"/>
        <v>790232</v>
      </c>
      <c r="H27" s="130">
        <f>'LIBRO DE PRESUPUESTO'!J46+'LIBRO DE PRESUPUESTO'!J47</f>
        <v>68192</v>
      </c>
      <c r="I27" s="130">
        <f>60170+60170</f>
        <v>120340</v>
      </c>
      <c r="J27" s="130">
        <v>60170</v>
      </c>
      <c r="K27" s="130">
        <v>60170</v>
      </c>
      <c r="L27" s="130">
        <v>60170</v>
      </c>
      <c r="M27" s="130">
        <v>60170</v>
      </c>
      <c r="N27" s="130">
        <v>60170</v>
      </c>
      <c r="O27" s="130">
        <v>60170</v>
      </c>
      <c r="P27" s="130">
        <v>60170</v>
      </c>
      <c r="Q27" s="130">
        <v>60170</v>
      </c>
      <c r="R27" s="130">
        <v>60170</v>
      </c>
      <c r="S27" s="130">
        <v>60170</v>
      </c>
      <c r="T27" s="132">
        <f t="shared" si="10"/>
        <v>790232</v>
      </c>
      <c r="U27" s="116">
        <f t="shared" si="8"/>
        <v>0</v>
      </c>
    </row>
    <row r="28" spans="1:22" x14ac:dyDescent="0.2">
      <c r="A28" s="191" t="s">
        <v>30</v>
      </c>
      <c r="B28" s="146" t="s">
        <v>31</v>
      </c>
      <c r="C28" s="190">
        <v>15036740</v>
      </c>
      <c r="D28" s="98"/>
      <c r="E28" s="99">
        <f>'LIBRO DE PRESUPUESTO'!G77</f>
        <v>203217</v>
      </c>
      <c r="F28" s="100"/>
      <c r="G28" s="129">
        <f t="shared" si="9"/>
        <v>15239957</v>
      </c>
      <c r="H28" s="130">
        <v>0</v>
      </c>
      <c r="I28" s="41">
        <f>'LIBRO DE PRESUPUESTO'!J65+'LIBRO DE PRESUPUESTO'!J66+'LIBRO DE PRESUPUESTO'!J67</f>
        <v>2705473</v>
      </c>
      <c r="J28" s="41">
        <v>0</v>
      </c>
      <c r="K28" s="41">
        <f>'LIBRO DE PRESUPUESTO'!J68</f>
        <v>842272</v>
      </c>
      <c r="L28" s="41">
        <f>'LIBRO DE PRESUPUESTO'!J69</f>
        <v>1069467</v>
      </c>
      <c r="M28" s="41">
        <f>'LIBRO DE PRESUPUESTO'!J70+'LIBRO DE PRESUPUESTO'!J71</f>
        <v>2107252</v>
      </c>
      <c r="N28" s="41">
        <f>'LIBRO DE PRESUPUESTO'!J72+'LIBRO DE PRESUPUESTO'!J73+'LIBRO DE PRESUPUESTO'!J74</f>
        <v>1465805</v>
      </c>
      <c r="O28" s="41">
        <f>'LIBRO DE PRESUPUESTO'!J75+'LIBRO DE PRESUPUESTO'!J76</f>
        <v>3243788</v>
      </c>
      <c r="P28" s="41">
        <v>0</v>
      </c>
      <c r="Q28" s="41">
        <v>0</v>
      </c>
      <c r="R28" s="131">
        <f>'LIBRO DE PRESUPUESTO'!J78</f>
        <v>3805900</v>
      </c>
      <c r="S28" s="41">
        <v>0</v>
      </c>
      <c r="T28" s="132">
        <f t="shared" si="10"/>
        <v>15239957</v>
      </c>
      <c r="U28" s="116">
        <f t="shared" si="8"/>
        <v>0</v>
      </c>
    </row>
    <row r="29" spans="1:22" x14ac:dyDescent="0.2">
      <c r="A29" s="191" t="s">
        <v>32</v>
      </c>
      <c r="B29" s="146" t="s">
        <v>33</v>
      </c>
      <c r="C29" s="190">
        <v>22003952</v>
      </c>
      <c r="D29" s="98"/>
      <c r="E29" s="101"/>
      <c r="F29" s="100">
        <f>'LIBRO DE PRESUPUESTO'!H80</f>
        <v>490742</v>
      </c>
      <c r="G29" s="129">
        <f t="shared" si="9"/>
        <v>21513210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1">
        <v>0</v>
      </c>
      <c r="N29" s="131">
        <f>'LIBRO DE PRESUPUESTO'!J81+'LIBRO DE PRESUPUESTO'!J82</f>
        <v>21513210</v>
      </c>
      <c r="O29" s="131">
        <v>0</v>
      </c>
      <c r="P29" s="131">
        <v>0</v>
      </c>
      <c r="Q29" s="131">
        <v>0</v>
      </c>
      <c r="R29" s="131"/>
      <c r="S29" s="131">
        <v>0</v>
      </c>
      <c r="T29" s="132">
        <f t="shared" si="10"/>
        <v>21513210</v>
      </c>
      <c r="U29" s="116">
        <f t="shared" si="8"/>
        <v>0</v>
      </c>
    </row>
    <row r="30" spans="1:22" x14ac:dyDescent="0.2">
      <c r="A30" s="191" t="s">
        <v>34</v>
      </c>
      <c r="B30" s="146" t="s">
        <v>35</v>
      </c>
      <c r="C30" s="190">
        <v>22920783</v>
      </c>
      <c r="D30" s="98">
        <f>'LIBRO DE PRESUPUESTO'!F90</f>
        <v>1000000</v>
      </c>
      <c r="E30" s="99"/>
      <c r="F30" s="133">
        <f>'LIBRO DE PRESUPUESTO'!H88</f>
        <v>1094277</v>
      </c>
      <c r="G30" s="129">
        <f t="shared" si="9"/>
        <v>22826506</v>
      </c>
      <c r="H30" s="130">
        <f>'LIBRO DE PRESUPUESTO'!J89</f>
        <v>5543228</v>
      </c>
      <c r="I30" s="25"/>
      <c r="J30" s="41"/>
      <c r="K30" s="41"/>
      <c r="L30" s="41"/>
      <c r="M30" s="41">
        <f>'LIBRO DE PRESUPUESTO'!J91+'LIBRO DE PRESUPUESTO'!J92</f>
        <v>2195287</v>
      </c>
      <c r="N30" s="41">
        <f>'LIBRO DE PRESUPUESTO'!J93+'LIBRO DE PRESUPUESTO'!J94</f>
        <v>579295</v>
      </c>
      <c r="O30" s="41">
        <f>'LIBRO DE PRESUPUESTO'!J95</f>
        <v>603930</v>
      </c>
      <c r="P30" s="134">
        <v>0</v>
      </c>
      <c r="Q30" s="134">
        <f>'LIBRO DE PRESUPUESTO'!J96+'LIBRO DE PRESUPUESTO'!J97</f>
        <v>4967677</v>
      </c>
      <c r="R30" s="134">
        <f>'LIBRO DE PRESUPUESTO'!J98</f>
        <v>2483749</v>
      </c>
      <c r="S30" s="134">
        <f>+'LIBRO DE PRESUPUESTO'!J100+'LIBRO DE PRESUPUESTO'!J101+'LIBRO DE PRESUPUESTO'!J102+'LIBRO DE PRESUPUESTO'!J103</f>
        <v>6453340</v>
      </c>
      <c r="T30" s="132">
        <f t="shared" si="10"/>
        <v>22826506</v>
      </c>
      <c r="U30" s="116">
        <f t="shared" si="8"/>
        <v>0</v>
      </c>
    </row>
    <row r="31" spans="1:22" x14ac:dyDescent="0.2">
      <c r="A31" s="191">
        <v>2020110109</v>
      </c>
      <c r="B31" s="146" t="s">
        <v>36</v>
      </c>
      <c r="C31" s="190">
        <v>37123611</v>
      </c>
      <c r="D31" s="98">
        <f>'LIBRO DE PRESUPUESTO'!F106</f>
        <v>2817477</v>
      </c>
      <c r="E31" s="99"/>
      <c r="F31" s="133">
        <f>'LIBRO DE PRESUPUESTO'!H106</f>
        <v>1150683</v>
      </c>
      <c r="G31" s="129">
        <f t="shared" si="9"/>
        <v>38790405</v>
      </c>
      <c r="H31" s="130">
        <v>0</v>
      </c>
      <c r="I31" s="25"/>
      <c r="J31" s="41"/>
      <c r="K31" s="41"/>
      <c r="L31" s="41"/>
      <c r="M31" s="41">
        <f>+'LIBRO DE PRESUPUESTO'!J108+'LIBRO DE PRESUPUESTO'!J109</f>
        <v>10696252</v>
      </c>
      <c r="N31" s="41">
        <f>+'LIBRO DE PRESUPUESTO'!J110+'LIBRO DE PRESUPUESTO'!J111</f>
        <v>2554695</v>
      </c>
      <c r="O31" s="41">
        <f>+'LIBRO DE PRESUPUESTO'!J112</f>
        <v>910214</v>
      </c>
      <c r="P31" s="134">
        <v>0</v>
      </c>
      <c r="Q31" s="134">
        <f>+'LIBRO DE PRESUPUESTO'!J113+'LIBRO DE PRESUPUESTO'!J114</f>
        <v>8897326</v>
      </c>
      <c r="R31" s="134">
        <f>+'LIBRO DE PRESUPUESTO'!J115</f>
        <v>4282931</v>
      </c>
      <c r="S31" s="134">
        <f>+'LIBRO DE PRESUPUESTO'!J117+'LIBRO DE PRESUPUESTO'!J118+'LIBRO DE PRESUPUESTO'!J119+'LIBRO DE PRESUPUESTO'!J120</f>
        <v>11448987</v>
      </c>
      <c r="T31" s="132">
        <f>SUM(H31:S31)</f>
        <v>38790405</v>
      </c>
      <c r="U31" s="116">
        <f t="shared" si="8"/>
        <v>0</v>
      </c>
    </row>
    <row r="32" spans="1:22" ht="13.5" thickBot="1" x14ac:dyDescent="0.25">
      <c r="A32" s="191">
        <v>2020110108</v>
      </c>
      <c r="B32" s="146" t="s">
        <v>37</v>
      </c>
      <c r="C32" s="190">
        <v>47751632</v>
      </c>
      <c r="D32" s="98"/>
      <c r="E32" s="99"/>
      <c r="F32" s="100">
        <f>'LIBRO DE PRESUPUESTO'!H122</f>
        <v>1089336</v>
      </c>
      <c r="G32" s="129">
        <f t="shared" si="9"/>
        <v>46662296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f>'LIBRO DE PRESUPUESTO'!J123</f>
        <v>1283713</v>
      </c>
      <c r="O32" s="41">
        <v>0</v>
      </c>
      <c r="P32" s="41">
        <v>0</v>
      </c>
      <c r="Q32" s="41">
        <v>0</v>
      </c>
      <c r="R32" s="41">
        <v>0</v>
      </c>
      <c r="S32" s="41">
        <f>'LIBRO DE PRESUPUESTO'!J124</f>
        <v>45378583</v>
      </c>
      <c r="T32" s="132">
        <f t="shared" si="10"/>
        <v>46662296</v>
      </c>
      <c r="U32" s="116">
        <f t="shared" si="8"/>
        <v>0</v>
      </c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20000000</v>
      </c>
      <c r="E33" s="151">
        <f>SUM(E34:E36)</f>
        <v>27650007</v>
      </c>
      <c r="F33" s="151">
        <f>SUM(F34:F36)</f>
        <v>14215400</v>
      </c>
      <c r="G33" s="200">
        <f>SUM(G34:G36)</f>
        <v>46284600</v>
      </c>
      <c r="H33" s="200">
        <f t="shared" ref="H33:T33" si="11">SUM(H34:H36)</f>
        <v>34832100</v>
      </c>
      <c r="I33" s="200">
        <f t="shared" si="11"/>
        <v>0</v>
      </c>
      <c r="J33" s="200">
        <f t="shared" si="11"/>
        <v>0</v>
      </c>
      <c r="K33" s="200">
        <f t="shared" si="11"/>
        <v>0</v>
      </c>
      <c r="L33" s="200">
        <f t="shared" si="11"/>
        <v>0</v>
      </c>
      <c r="M33" s="200">
        <f t="shared" si="11"/>
        <v>0</v>
      </c>
      <c r="N33" s="200">
        <f t="shared" si="11"/>
        <v>0</v>
      </c>
      <c r="O33" s="200">
        <f t="shared" si="11"/>
        <v>6500000</v>
      </c>
      <c r="P33" s="200">
        <f t="shared" si="11"/>
        <v>0</v>
      </c>
      <c r="Q33" s="200">
        <f t="shared" si="11"/>
        <v>0</v>
      </c>
      <c r="R33" s="200">
        <f t="shared" si="11"/>
        <v>3000000</v>
      </c>
      <c r="S33" s="200">
        <f t="shared" si="11"/>
        <v>1952500</v>
      </c>
      <c r="T33" s="200">
        <f t="shared" si="11"/>
        <v>46284600</v>
      </c>
      <c r="U33" s="116">
        <f t="shared" si="8"/>
        <v>0</v>
      </c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>
        <f>'LIBRO DE PRESUPUESTO'!F131</f>
        <v>20000000</v>
      </c>
      <c r="E34" s="101">
        <f>'LIBRO DE PRESUPUESTO'!G131</f>
        <v>27650007</v>
      </c>
      <c r="F34" s="100">
        <f>'LIBRO DE PRESUPUESTO'!H131</f>
        <v>14215400</v>
      </c>
      <c r="G34" s="129">
        <f>C34+D34+E34-F34</f>
        <v>46284600</v>
      </c>
      <c r="H34" s="131">
        <f>SUM('LIBRO DE PRESUPUESTO'!J133:J136)</f>
        <v>34832100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f>'LIBRO DE PRESUPUESTO'!J138+'LIBRO DE PRESUPUESTO'!J139</f>
        <v>6500000</v>
      </c>
      <c r="P34" s="130">
        <v>0</v>
      </c>
      <c r="Q34" s="130">
        <v>0</v>
      </c>
      <c r="R34" s="130">
        <f>'LIBRO DE PRESUPUESTO'!J143</f>
        <v>3000000</v>
      </c>
      <c r="S34" s="130">
        <f>'LIBRO DE PRESUPUESTO'!J144</f>
        <v>1952500</v>
      </c>
      <c r="T34" s="132">
        <f t="shared" si="10"/>
        <v>46284600</v>
      </c>
      <c r="U34" s="116">
        <f t="shared" si="8"/>
        <v>0</v>
      </c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>C35+D35+E35-F35</f>
        <v>0</v>
      </c>
      <c r="H35" s="129">
        <f t="shared" ref="H35:S36" si="12">D35+E35+F35-G35</f>
        <v>0</v>
      </c>
      <c r="I35" s="129">
        <f t="shared" si="12"/>
        <v>0</v>
      </c>
      <c r="J35" s="129">
        <f t="shared" si="12"/>
        <v>0</v>
      </c>
      <c r="K35" s="129">
        <f t="shared" si="12"/>
        <v>0</v>
      </c>
      <c r="L35" s="129">
        <f t="shared" si="12"/>
        <v>0</v>
      </c>
      <c r="M35" s="129">
        <f t="shared" si="12"/>
        <v>0</v>
      </c>
      <c r="N35" s="129">
        <f t="shared" si="12"/>
        <v>0</v>
      </c>
      <c r="O35" s="129">
        <f t="shared" si="12"/>
        <v>0</v>
      </c>
      <c r="P35" s="129">
        <f t="shared" si="12"/>
        <v>0</v>
      </c>
      <c r="Q35" s="129">
        <f t="shared" si="12"/>
        <v>0</v>
      </c>
      <c r="R35" s="129">
        <f t="shared" si="12"/>
        <v>0</v>
      </c>
      <c r="S35" s="129">
        <f t="shared" si="12"/>
        <v>0</v>
      </c>
      <c r="T35" s="132">
        <f t="shared" si="10"/>
        <v>0</v>
      </c>
      <c r="U35" s="116">
        <f t="shared" si="8"/>
        <v>0</v>
      </c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>C36+D36+E36-F36</f>
        <v>0</v>
      </c>
      <c r="H36" s="129">
        <f t="shared" si="12"/>
        <v>0</v>
      </c>
      <c r="I36" s="129">
        <f t="shared" si="12"/>
        <v>0</v>
      </c>
      <c r="J36" s="129">
        <f t="shared" si="12"/>
        <v>0</v>
      </c>
      <c r="K36" s="129">
        <f t="shared" si="12"/>
        <v>0</v>
      </c>
      <c r="L36" s="129">
        <f t="shared" si="12"/>
        <v>0</v>
      </c>
      <c r="M36" s="129">
        <f t="shared" si="12"/>
        <v>0</v>
      </c>
      <c r="N36" s="129">
        <f t="shared" si="12"/>
        <v>0</v>
      </c>
      <c r="O36" s="129">
        <f t="shared" si="12"/>
        <v>0</v>
      </c>
      <c r="P36" s="129">
        <f t="shared" si="12"/>
        <v>0</v>
      </c>
      <c r="Q36" s="129">
        <f t="shared" si="12"/>
        <v>0</v>
      </c>
      <c r="R36" s="129">
        <f t="shared" si="12"/>
        <v>0</v>
      </c>
      <c r="S36" s="129">
        <f t="shared" si="12"/>
        <v>0</v>
      </c>
      <c r="T36" s="132">
        <f t="shared" si="10"/>
        <v>0</v>
      </c>
      <c r="U36" s="116">
        <f t="shared" si="8"/>
        <v>0</v>
      </c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145000000</v>
      </c>
      <c r="E37" s="154">
        <f>E38+E43+E59</f>
        <v>61186719</v>
      </c>
      <c r="F37" s="154">
        <f>F38+F43+F59</f>
        <v>22474340</v>
      </c>
      <c r="G37" s="154">
        <f>G38+G43+G59</f>
        <v>275360707</v>
      </c>
      <c r="H37" s="154">
        <f t="shared" ref="H37:S37" si="13">H38+H43</f>
        <v>4108817</v>
      </c>
      <c r="I37" s="154">
        <f t="shared" si="13"/>
        <v>29417641</v>
      </c>
      <c r="J37" s="154">
        <f t="shared" si="13"/>
        <v>34558042</v>
      </c>
      <c r="K37" s="154">
        <f t="shared" si="13"/>
        <v>7410488</v>
      </c>
      <c r="L37" s="154">
        <f t="shared" si="13"/>
        <v>24198937</v>
      </c>
      <c r="M37" s="154">
        <f t="shared" si="13"/>
        <v>7372100</v>
      </c>
      <c r="N37" s="154">
        <f t="shared" si="13"/>
        <v>22212730</v>
      </c>
      <c r="O37" s="154">
        <f t="shared" si="13"/>
        <v>20040565</v>
      </c>
      <c r="P37" s="154">
        <f t="shared" si="13"/>
        <v>20863082</v>
      </c>
      <c r="Q37" s="154">
        <f t="shared" si="13"/>
        <v>70493684</v>
      </c>
      <c r="R37" s="154">
        <f t="shared" si="13"/>
        <v>3502904</v>
      </c>
      <c r="S37" s="154">
        <f t="shared" si="13"/>
        <v>30089654</v>
      </c>
      <c r="T37" s="157">
        <f>T43+T38+T59</f>
        <v>275360707</v>
      </c>
      <c r="U37" s="116">
        <f t="shared" si="8"/>
        <v>0</v>
      </c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23000000</v>
      </c>
      <c r="E38" s="151">
        <f>SUM(E39:E42)</f>
        <v>17109600</v>
      </c>
      <c r="F38" s="151">
        <f>SUM(F39:F42)</f>
        <v>6140000</v>
      </c>
      <c r="G38" s="200">
        <f>SUM(G39:G42)</f>
        <v>50169600</v>
      </c>
      <c r="H38" s="200">
        <f t="shared" ref="H38:T38" si="14">SUM(H39:H42)</f>
        <v>1599800</v>
      </c>
      <c r="I38" s="200">
        <f t="shared" si="14"/>
        <v>14395000</v>
      </c>
      <c r="J38" s="200">
        <f t="shared" si="14"/>
        <v>0</v>
      </c>
      <c r="K38" s="200">
        <f t="shared" si="14"/>
        <v>900600</v>
      </c>
      <c r="L38" s="200">
        <f t="shared" si="14"/>
        <v>3757200</v>
      </c>
      <c r="M38" s="200">
        <f t="shared" si="14"/>
        <v>0</v>
      </c>
      <c r="N38" s="200">
        <f t="shared" si="14"/>
        <v>0</v>
      </c>
      <c r="O38" s="200">
        <f t="shared" si="14"/>
        <v>11206400</v>
      </c>
      <c r="P38" s="200">
        <f t="shared" si="14"/>
        <v>1050600</v>
      </c>
      <c r="Q38" s="200">
        <f t="shared" si="14"/>
        <v>0</v>
      </c>
      <c r="R38" s="200">
        <f t="shared" si="14"/>
        <v>0</v>
      </c>
      <c r="S38" s="200">
        <f t="shared" si="14"/>
        <v>17260000</v>
      </c>
      <c r="T38" s="200">
        <f t="shared" si="14"/>
        <v>50169600</v>
      </c>
      <c r="U38" s="116">
        <f t="shared" si="8"/>
        <v>0</v>
      </c>
    </row>
    <row r="39" spans="1:21" x14ac:dyDescent="0.2">
      <c r="A39" s="191" t="s">
        <v>48</v>
      </c>
      <c r="B39" s="148" t="s">
        <v>49</v>
      </c>
      <c r="C39" s="193">
        <v>3000000</v>
      </c>
      <c r="D39" s="98">
        <f>'LIBRO DE PRESUPUESTO'!F151</f>
        <v>3000000</v>
      </c>
      <c r="E39" s="99">
        <f>'LIBRO DE PRESUPUESTO'!G151</f>
        <v>6400000</v>
      </c>
      <c r="F39" s="100">
        <f>'LIBRO DE PRESUPUESTO'!H151</f>
        <v>6140000</v>
      </c>
      <c r="G39" s="129">
        <f>C39+D39+E39-F39</f>
        <v>6260000</v>
      </c>
      <c r="H39" s="131"/>
      <c r="I39" s="25"/>
      <c r="J39" s="25"/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f>'LIBRO DE PRESUPUESTO'!J155</f>
        <v>6260000</v>
      </c>
      <c r="T39" s="132">
        <f t="shared" ref="T39:T65" si="15">SUM(H39:S39)</f>
        <v>6260000</v>
      </c>
      <c r="U39" s="116">
        <f t="shared" si="8"/>
        <v>0</v>
      </c>
    </row>
    <row r="40" spans="1:21" x14ac:dyDescent="0.2">
      <c r="A40" s="191" t="s">
        <v>50</v>
      </c>
      <c r="B40" s="149" t="s">
        <v>51</v>
      </c>
      <c r="C40" s="193">
        <v>12000000</v>
      </c>
      <c r="D40" s="135">
        <f>'LIBRO DE PRESUPUESTO'!F162</f>
        <v>20000000</v>
      </c>
      <c r="E40" s="99">
        <f>'LIBRO DE PRESUPUESTO'!G162</f>
        <v>9159600</v>
      </c>
      <c r="F40" s="100"/>
      <c r="G40" s="129">
        <f>C40+D40+E40-F40</f>
        <v>41159600</v>
      </c>
      <c r="H40" s="130">
        <f>'LIBRO DE PRESUPUESTO'!J163+'LIBRO DE PRESUPUESTO'!J165</f>
        <v>1599800</v>
      </c>
      <c r="I40" s="130">
        <f>'LIBRO DE PRESUPUESTO'!J166</f>
        <v>14395000</v>
      </c>
      <c r="J40" s="130"/>
      <c r="K40" s="130">
        <f>'LIBRO DE PRESUPUESTO'!J167</f>
        <v>900600</v>
      </c>
      <c r="L40" s="130">
        <f>'LIBRO DE PRESUPUESTO'!J168+'LIBRO DE PRESUPUESTO'!J169</f>
        <v>3757200</v>
      </c>
      <c r="M40" s="130">
        <v>0</v>
      </c>
      <c r="N40" s="130">
        <v>0</v>
      </c>
      <c r="O40" s="130">
        <f>'LIBRO DE PRESUPUESTO'!J170+'LIBRO DE PRESUPUESTO'!J171+'LIBRO DE PRESUPUESTO'!J172</f>
        <v>11206400</v>
      </c>
      <c r="P40" s="130">
        <f>'LIBRO DE PRESUPUESTO'!J174</f>
        <v>1050600</v>
      </c>
      <c r="Q40" s="130">
        <v>0</v>
      </c>
      <c r="R40" s="130">
        <v>0</v>
      </c>
      <c r="S40" s="130">
        <f>'LIBRO DE PRESUPUESTO'!J176+'LIBRO DE PRESUPUESTO'!J177</f>
        <v>8250000</v>
      </c>
      <c r="T40" s="132">
        <f t="shared" si="15"/>
        <v>41159600</v>
      </c>
      <c r="U40" s="116">
        <f t="shared" si="8"/>
        <v>0</v>
      </c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>
        <f>'LIBRO DE PRESUPUESTO'!G179</f>
        <v>1550000</v>
      </c>
      <c r="F41" s="100"/>
      <c r="G41" s="129">
        <f>C41+D41+E41-F41</f>
        <v>2750000</v>
      </c>
      <c r="H41" s="131"/>
      <c r="I41" s="130"/>
      <c r="J41" s="130"/>
      <c r="K41" s="130"/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2750000</v>
      </c>
      <c r="T41" s="132">
        <f t="shared" si="15"/>
        <v>2750000</v>
      </c>
      <c r="U41" s="116">
        <f t="shared" si="8"/>
        <v>0</v>
      </c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>C42+D42+E42-F42</f>
        <v>0</v>
      </c>
      <c r="H42" s="131">
        <f t="shared" ref="H42:R42" si="16">ROUND($G$42/12,-1)</f>
        <v>0</v>
      </c>
      <c r="I42" s="130"/>
      <c r="J42" s="130">
        <v>0</v>
      </c>
      <c r="K42" s="130">
        <v>0</v>
      </c>
      <c r="L42" s="131">
        <f t="shared" si="16"/>
        <v>0</v>
      </c>
      <c r="M42" s="131">
        <f t="shared" si="16"/>
        <v>0</v>
      </c>
      <c r="N42" s="131">
        <f t="shared" si="16"/>
        <v>0</v>
      </c>
      <c r="O42" s="131">
        <f t="shared" si="16"/>
        <v>0</v>
      </c>
      <c r="P42" s="131">
        <f t="shared" si="16"/>
        <v>0</v>
      </c>
      <c r="Q42" s="131">
        <f t="shared" si="16"/>
        <v>0</v>
      </c>
      <c r="R42" s="131">
        <f t="shared" si="16"/>
        <v>0</v>
      </c>
      <c r="S42" s="131">
        <f>G42-SUM(H42:R42)</f>
        <v>0</v>
      </c>
      <c r="T42" s="132">
        <f t="shared" si="15"/>
        <v>0</v>
      </c>
      <c r="U42" s="116">
        <f t="shared" si="8"/>
        <v>0</v>
      </c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122000000</v>
      </c>
      <c r="E43" s="194">
        <f>SUM(E44:E58)</f>
        <v>42985056</v>
      </c>
      <c r="F43" s="194">
        <f>SUM(F44:F58)</f>
        <v>16334340</v>
      </c>
      <c r="G43" s="194">
        <f>ROUND(SUM(G44:G58),0)</f>
        <v>224099044</v>
      </c>
      <c r="H43" s="194">
        <f t="shared" ref="H43:S43" si="17">ROUND(SUM(H44:H58),0)</f>
        <v>2509017</v>
      </c>
      <c r="I43" s="194">
        <f t="shared" si="17"/>
        <v>15022641</v>
      </c>
      <c r="J43" s="194">
        <f t="shared" si="17"/>
        <v>34558042</v>
      </c>
      <c r="K43" s="194">
        <f t="shared" si="17"/>
        <v>6509888</v>
      </c>
      <c r="L43" s="194">
        <f t="shared" si="17"/>
        <v>20441737</v>
      </c>
      <c r="M43" s="194">
        <f t="shared" si="17"/>
        <v>7372100</v>
      </c>
      <c r="N43" s="194">
        <f t="shared" si="17"/>
        <v>22212730</v>
      </c>
      <c r="O43" s="194">
        <f t="shared" si="17"/>
        <v>8834165</v>
      </c>
      <c r="P43" s="194">
        <f t="shared" si="17"/>
        <v>19812482</v>
      </c>
      <c r="Q43" s="194">
        <f t="shared" si="17"/>
        <v>70493684</v>
      </c>
      <c r="R43" s="194">
        <f t="shared" si="17"/>
        <v>3502904</v>
      </c>
      <c r="S43" s="194">
        <f t="shared" si="17"/>
        <v>12829654</v>
      </c>
      <c r="T43" s="195">
        <f>SUM(T44:T58)</f>
        <v>224099044</v>
      </c>
      <c r="U43" s="116">
        <f t="shared" si="8"/>
        <v>0</v>
      </c>
    </row>
    <row r="44" spans="1:21" x14ac:dyDescent="0.2">
      <c r="A44" s="191" t="s">
        <v>58</v>
      </c>
      <c r="B44" s="148" t="s">
        <v>59</v>
      </c>
      <c r="C44" s="193">
        <v>180000</v>
      </c>
      <c r="D44" s="135">
        <f>'LIBRO DE PRESUPUESTO'!F190</f>
        <v>31000000</v>
      </c>
      <c r="E44" s="101"/>
      <c r="F44" s="100">
        <f>'LIBRO DE PRESUPUESTO'!H190</f>
        <v>5471100</v>
      </c>
      <c r="G44" s="129">
        <f>C44+D44+E44-F44</f>
        <v>25708900</v>
      </c>
      <c r="H44" s="130">
        <f>'LIBRO DE PRESUPUESTO'!J192</f>
        <v>1200000</v>
      </c>
      <c r="I44" s="130"/>
      <c r="J44" s="130">
        <f>'LIBRO DE PRESUPUESTO'!J193</f>
        <v>14930000</v>
      </c>
      <c r="K44" s="130">
        <f>'LIBRO DE PRESUPUESTO'!J195</f>
        <v>1135000</v>
      </c>
      <c r="L44" s="134">
        <f>'LIBRO DE PRESUPUESTO'!J196</f>
        <v>1196000</v>
      </c>
      <c r="M44" s="130"/>
      <c r="N44" s="130">
        <f>'LIBRO DE PRESUPUESTO'!J197</f>
        <v>1820000</v>
      </c>
      <c r="O44" s="134">
        <f>'LIBRO DE PRESUPUESTO'!J198</f>
        <v>1074900</v>
      </c>
      <c r="P44" s="130">
        <f>'LIBRO DE PRESUPUESTO'!J199</f>
        <v>1045000</v>
      </c>
      <c r="Q44" s="130"/>
      <c r="R44" s="134"/>
      <c r="S44" s="134">
        <f>'LIBRO DE PRESUPUESTO'!J200+'LIBRO DE PRESUPUESTO'!J202+'LIBRO DE PRESUPUESTO'!J203</f>
        <v>3308000</v>
      </c>
      <c r="T44" s="132">
        <f t="shared" si="15"/>
        <v>25708900</v>
      </c>
      <c r="U44" s="116">
        <f t="shared" si="8"/>
        <v>0</v>
      </c>
    </row>
    <row r="45" spans="1:21" x14ac:dyDescent="0.2">
      <c r="A45" s="191">
        <v>2020120202</v>
      </c>
      <c r="B45" s="148" t="s">
        <v>61</v>
      </c>
      <c r="C45" s="193">
        <v>39298328</v>
      </c>
      <c r="D45" s="135">
        <f>'LIBRO DE PRESUPUESTO'!F212</f>
        <v>50000000</v>
      </c>
      <c r="E45" s="101">
        <f>'LIBRO DE PRESUPUESTO'!G212</f>
        <v>34013080</v>
      </c>
      <c r="F45" s="100"/>
      <c r="G45" s="129">
        <f t="shared" ref="G45:G78" si="18">C45+D45+E45-F45</f>
        <v>123311408</v>
      </c>
      <c r="H45" s="130"/>
      <c r="I45" s="130">
        <f>SUM('LIBRO DE PRESUPUESTO'!J213:J225)</f>
        <v>13417168</v>
      </c>
      <c r="J45" s="130">
        <f>SUM('LIBRO DE PRESUPUESTO'!J226:J231)</f>
        <v>10442500</v>
      </c>
      <c r="K45" s="130">
        <f>SUM('LIBRO DE PRESUPUESTO'!J233:J241)</f>
        <v>3686500</v>
      </c>
      <c r="L45" s="130">
        <f>SUM('LIBRO DE PRESUPUESTO'!J242:J258)</f>
        <v>17390550</v>
      </c>
      <c r="M45" s="130">
        <f>SUM('LIBRO DE PRESUPUESTO'!J259:J265)</f>
        <v>6256513</v>
      </c>
      <c r="N45" s="130">
        <f>SUM('LIBRO DE PRESUPUESTO'!J266:J282)</f>
        <v>19062337</v>
      </c>
      <c r="O45" s="130">
        <f>SUM('LIBRO DE PRESUPUESTO'!J283:J287)</f>
        <v>5214750</v>
      </c>
      <c r="P45" s="130">
        <f>SUM('LIBRO DE PRESUPUESTO'!J288:J302)</f>
        <v>16995470</v>
      </c>
      <c r="Q45" s="130">
        <f>SUM('LIBRO DE PRESUPUESTO'!J303:J324)</f>
        <v>21470620</v>
      </c>
      <c r="R45" s="130">
        <f>SUM('LIBRO DE PRESUPUESTO'!J325:J329)</f>
        <v>2359500</v>
      </c>
      <c r="S45" s="130">
        <f>SUM('LIBRO DE PRESUPUESTO'!J331:J337)</f>
        <v>7015500</v>
      </c>
      <c r="T45" s="132">
        <f t="shared" si="15"/>
        <v>123311408</v>
      </c>
      <c r="U45" s="116">
        <f t="shared" si="8"/>
        <v>0</v>
      </c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>
        <f>'LIBRO DE PRESUPUESTO'!H341</f>
        <v>460900</v>
      </c>
      <c r="G46" s="129">
        <f t="shared" si="18"/>
        <v>739100</v>
      </c>
      <c r="H46" s="130">
        <f>'LIBRO DE PRESUPUESTO'!J342</f>
        <v>200000</v>
      </c>
      <c r="I46" s="41"/>
      <c r="J46" s="41"/>
      <c r="K46" s="41">
        <f>'LIBRO DE PRESUPUESTO'!J343</f>
        <v>167000</v>
      </c>
      <c r="L46" s="41">
        <f>'LIBRO DE PRESUPUESTO'!J344</f>
        <v>167100</v>
      </c>
      <c r="M46" s="41"/>
      <c r="N46" s="41"/>
      <c r="O46" s="131">
        <f>'LIBRO DE PRESUPUESTO'!J345</f>
        <v>40000</v>
      </c>
      <c r="P46" s="131">
        <f>'LIBRO DE PRESUPUESTO'!J346</f>
        <v>165000</v>
      </c>
      <c r="Q46" s="41"/>
      <c r="R46" s="131"/>
      <c r="S46" s="131"/>
      <c r="T46" s="132">
        <f t="shared" si="15"/>
        <v>739100</v>
      </c>
      <c r="U46" s="116">
        <f t="shared" si="8"/>
        <v>0</v>
      </c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>
        <f>'LIBRO DE PRESUPUESTO'!H361</f>
        <v>2862800</v>
      </c>
      <c r="G47" s="129">
        <f t="shared" si="18"/>
        <v>7937200</v>
      </c>
      <c r="H47" s="130">
        <f>'LIBRO DE PRESUPUESTO'!J362</f>
        <v>720300</v>
      </c>
      <c r="I47" s="130">
        <f>'LIBRO DE PRESUPUESTO'!J363</f>
        <v>693300</v>
      </c>
      <c r="J47" s="130">
        <f>'LIBRO DE PRESUPUESTO'!J364</f>
        <v>920100</v>
      </c>
      <c r="K47" s="130">
        <f>'LIBRO DE PRESUPUESTO'!J365</f>
        <v>808700</v>
      </c>
      <c r="L47" s="130">
        <f>'LIBRO DE PRESUPUESTO'!J366</f>
        <v>583800</v>
      </c>
      <c r="M47" s="130">
        <f>'LIBRO DE PRESUPUESTO'!J367</f>
        <v>581000</v>
      </c>
      <c r="N47" s="130">
        <f>'LIBRO DE PRESUPUESTO'!J368+'LIBRO DE PRESUPUESTO'!J369</f>
        <v>594700</v>
      </c>
      <c r="O47" s="130">
        <f>'LIBRO DE PRESUPUESTO'!J370</f>
        <v>509900</v>
      </c>
      <c r="P47" s="130">
        <f>'LIBRO DE PRESUPUESTO'!J371</f>
        <v>497400</v>
      </c>
      <c r="Q47" s="130">
        <f>'LIBRO DE PRESUPUESTO'!J372</f>
        <v>607700</v>
      </c>
      <c r="R47" s="130">
        <f>'LIBRO DE PRESUPUESTO'!J373</f>
        <v>630500</v>
      </c>
      <c r="S47" s="130">
        <f>'LIBRO DE PRESUPUESTO'!J375</f>
        <v>789800</v>
      </c>
      <c r="T47" s="132">
        <f t="shared" si="15"/>
        <v>7937200</v>
      </c>
      <c r="U47" s="116">
        <f t="shared" si="8"/>
        <v>0</v>
      </c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>
        <f>'LIBRO DE PRESUPUESTO'!H377</f>
        <v>1193066</v>
      </c>
      <c r="G48" s="129">
        <f t="shared" si="18"/>
        <v>5406934</v>
      </c>
      <c r="H48" s="130">
        <f>'LIBRO DE PRESUPUESTO'!J378+'LIBRO DE PRESUPUESTO'!J379</f>
        <v>285667</v>
      </c>
      <c r="I48" s="130">
        <f>'LIBRO DE PRESUPUESTO'!J380+'LIBRO DE PRESUPUESTO'!J381+'LIBRO DE PRESUPUESTO'!J382+'LIBRO DE PRESUPUESTO'!J383</f>
        <v>779883</v>
      </c>
      <c r="J48" s="130">
        <f>'LIBRO DE PRESUPUESTO'!J384+'LIBRO DE PRESUPUESTO'!J385</f>
        <v>346900</v>
      </c>
      <c r="K48" s="130">
        <f>'LIBRO DE PRESUPUESTO'!J386+'LIBRO DE PRESUPUESTO'!J387+'LIBRO DE PRESUPUESTO'!J388</f>
        <v>580398</v>
      </c>
      <c r="L48" s="130">
        <f>'LIBRO DE PRESUPUESTO'!J389+'LIBRO DE PRESUPUESTO'!J390+'LIBRO DE PRESUPUESTO'!J391</f>
        <v>471997</v>
      </c>
      <c r="M48" s="130">
        <f>'LIBRO DE PRESUPUESTO'!J392+'LIBRO DE PRESUPUESTO'!J393+'LIBRO DE PRESUPUESTO'!J394</f>
        <v>471997</v>
      </c>
      <c r="N48" s="130">
        <f>'LIBRO DE PRESUPUESTO'!J395+'LIBRO DE PRESUPUESTO'!J396+'LIBRO DE PRESUPUESTO'!J397+'LIBRO DE PRESUPUESTO'!J398</f>
        <v>470093</v>
      </c>
      <c r="O48" s="130">
        <f>'LIBRO DE PRESUPUESTO'!J399+'LIBRO DE PRESUPUESTO'!J400+'LIBRO DE PRESUPUESTO'!J401</f>
        <v>472915</v>
      </c>
      <c r="P48" s="130">
        <f>'LIBRO DE PRESUPUESTO'!J402+'LIBRO DE PRESUPUESTO'!J403</f>
        <v>382322</v>
      </c>
      <c r="Q48" s="130">
        <f>'LIBRO DE PRESUPUESTO'!J404+'LIBRO DE PRESUPUESTO'!J405</f>
        <v>382084</v>
      </c>
      <c r="R48" s="130">
        <f>'LIBRO DE PRESUPUESTO'!J406+'LIBRO DE PRESUPUESTO'!J407</f>
        <v>380614</v>
      </c>
      <c r="S48" s="130">
        <f>'LIBRO DE PRESUPUESTO'!J409+'LIBRO DE PRESUPUESTO'!J410</f>
        <v>382064</v>
      </c>
      <c r="T48" s="132">
        <f t="shared" si="15"/>
        <v>5406934</v>
      </c>
      <c r="U48" s="116">
        <f t="shared" si="8"/>
        <v>0</v>
      </c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>
        <f>'LIBRO DE PRESUPUESTO'!H414</f>
        <v>360740</v>
      </c>
      <c r="G49" s="129">
        <f t="shared" si="18"/>
        <v>1559260</v>
      </c>
      <c r="H49" s="130">
        <f>'LIBRO DE PRESUPUESTO'!J415+'LIBRO DE PRESUPUESTO'!J416</f>
        <v>103050</v>
      </c>
      <c r="I49" s="130">
        <f>'LIBRO DE PRESUPUESTO'!J417+'LIBRO DE PRESUPUESTO'!J418</f>
        <v>132290</v>
      </c>
      <c r="J49" s="130">
        <f>'LIBRO DE PRESUPUESTO'!J419+'LIBRO DE PRESUPUESTO'!J420</f>
        <v>132290</v>
      </c>
      <c r="K49" s="130">
        <f>'LIBRO DE PRESUPUESTO'!J421+'LIBRO DE PRESUPUESTO'!J422</f>
        <v>132290</v>
      </c>
      <c r="L49" s="130">
        <f>'LIBRO DE PRESUPUESTO'!J423+'LIBRO DE PRESUPUESTO'!J424</f>
        <v>132290</v>
      </c>
      <c r="M49" s="130">
        <f>'LIBRO DE PRESUPUESTO'!J425</f>
        <v>62590</v>
      </c>
      <c r="N49" s="130">
        <f>'LIBRO DE PRESUPUESTO'!J426+'LIBRO DE PRESUPUESTO'!J427</f>
        <v>265600</v>
      </c>
      <c r="O49" s="130">
        <f>'LIBRO DE PRESUPUESTO'!J428</f>
        <v>69700</v>
      </c>
      <c r="P49" s="130">
        <f>'LIBRO DE PRESUPUESTO'!J429+'LIBRO DE PRESUPUESTO'!J430</f>
        <v>132290</v>
      </c>
      <c r="Q49" s="130">
        <f>'LIBRO DE PRESUPUESTO'!J431+'LIBRO DE PRESUPUESTO'!J432</f>
        <v>132290</v>
      </c>
      <c r="R49" s="130">
        <f>'LIBRO DE PRESUPUESTO'!J433+'LIBRO DE PRESUPUESTO'!J434</f>
        <v>132290</v>
      </c>
      <c r="S49" s="130">
        <f>'LIBRO DE PRESUPUESTO'!J436+'LIBRO DE PRESUPUESTO'!J437</f>
        <v>132290</v>
      </c>
      <c r="T49" s="132">
        <f t="shared" si="15"/>
        <v>1559260</v>
      </c>
      <c r="U49" s="116">
        <f t="shared" si="8"/>
        <v>0</v>
      </c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>
        <f>'LIBRO DE PRESUPUESTO'!H439</f>
        <v>1000000</v>
      </c>
      <c r="G50" s="129">
        <f t="shared" si="18"/>
        <v>500000</v>
      </c>
      <c r="H50" s="130"/>
      <c r="I50" s="130"/>
      <c r="J50" s="130"/>
      <c r="K50" s="130"/>
      <c r="L50" s="130"/>
      <c r="M50" s="130"/>
      <c r="N50" s="130"/>
      <c r="O50" s="130">
        <f>'LIBRO DE PRESUPUESTO'!J440</f>
        <v>500000</v>
      </c>
      <c r="P50" s="130"/>
      <c r="Q50" s="130"/>
      <c r="R50" s="130"/>
      <c r="S50" s="130"/>
      <c r="T50" s="132">
        <f t="shared" si="15"/>
        <v>500000</v>
      </c>
      <c r="U50" s="116">
        <f t="shared" si="8"/>
        <v>0</v>
      </c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18"/>
        <v>0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32">
        <f t="shared" si="15"/>
        <v>0</v>
      </c>
      <c r="U51" s="116">
        <f t="shared" si="8"/>
        <v>0</v>
      </c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>
        <f>'LIBRO DE PRESUPUESTO'!G454</f>
        <v>631976</v>
      </c>
      <c r="F52" s="100">
        <f>'LIBRO DE PRESUPUESTO'!H454</f>
        <v>845724</v>
      </c>
      <c r="G52" s="129">
        <f t="shared" si="18"/>
        <v>7786252</v>
      </c>
      <c r="H52" s="130"/>
      <c r="I52" s="43"/>
      <c r="J52" s="43">
        <f>'LIBRO DE PRESUPUESTO'!J455+'LIBRO DE PRESUPUESTO'!J457</f>
        <v>7786252</v>
      </c>
      <c r="K52" s="43"/>
      <c r="L52" s="43"/>
      <c r="M52" s="43"/>
      <c r="N52" s="43"/>
      <c r="O52" s="43"/>
      <c r="P52" s="43"/>
      <c r="Q52" s="43"/>
      <c r="R52" s="131"/>
      <c r="S52" s="131"/>
      <c r="T52" s="132">
        <f t="shared" si="15"/>
        <v>7786252</v>
      </c>
      <c r="U52" s="116">
        <f t="shared" si="8"/>
        <v>0</v>
      </c>
    </row>
    <row r="53" spans="1:22" x14ac:dyDescent="0.2">
      <c r="A53" s="191" t="s">
        <v>76</v>
      </c>
      <c r="B53" s="149" t="s">
        <v>77</v>
      </c>
      <c r="C53" s="193">
        <v>5000000</v>
      </c>
      <c r="D53" s="98">
        <f>'LIBRO DE PRESUPUESTO'!F463</f>
        <v>20000000</v>
      </c>
      <c r="E53" s="99">
        <f>'LIBRO DE PRESUPUESTO'!G463</f>
        <v>2000000</v>
      </c>
      <c r="F53" s="100"/>
      <c r="G53" s="129">
        <f t="shared" si="18"/>
        <v>27000000</v>
      </c>
      <c r="H53" s="130"/>
      <c r="I53" s="43"/>
      <c r="J53" s="43"/>
      <c r="K53" s="43"/>
      <c r="L53" s="43"/>
      <c r="M53" s="43"/>
      <c r="N53" s="43"/>
      <c r="O53" s="43"/>
      <c r="P53" s="43"/>
      <c r="Q53" s="43">
        <f>'LIBRO DE PRESUPUESTO'!J466</f>
        <v>27000000</v>
      </c>
      <c r="R53" s="43"/>
      <c r="S53" s="43"/>
      <c r="T53" s="132">
        <f t="shared" si="15"/>
        <v>27000000</v>
      </c>
      <c r="U53" s="116">
        <f t="shared" si="8"/>
        <v>0</v>
      </c>
    </row>
    <row r="54" spans="1:22" x14ac:dyDescent="0.2">
      <c r="A54" s="191" t="s">
        <v>78</v>
      </c>
      <c r="B54" s="148" t="s">
        <v>79</v>
      </c>
      <c r="C54" s="193">
        <v>0</v>
      </c>
      <c r="D54" s="98">
        <f>'LIBRO DE PRESUPUESTO'!F474</f>
        <v>3000000</v>
      </c>
      <c r="E54" s="99"/>
      <c r="F54" s="100">
        <f>'LIBRO DE PRESUPUESTO'!H473</f>
        <v>953000</v>
      </c>
      <c r="G54" s="129">
        <f t="shared" si="18"/>
        <v>2047000</v>
      </c>
      <c r="H54" s="130"/>
      <c r="I54" s="130"/>
      <c r="J54" s="130"/>
      <c r="K54" s="130"/>
      <c r="L54" s="130">
        <f>'LIBRO DE PRESUPUESTO'!J475</f>
        <v>500000</v>
      </c>
      <c r="M54" s="130"/>
      <c r="N54" s="130"/>
      <c r="O54" s="130">
        <f>'LIBRO DE PRESUPUESTO'!J476</f>
        <v>952000</v>
      </c>
      <c r="P54" s="130">
        <f>'LIBRO DE PRESUPUESTO'!J477</f>
        <v>595000</v>
      </c>
      <c r="Q54" s="130"/>
      <c r="R54" s="131"/>
      <c r="S54" s="131"/>
      <c r="T54" s="132">
        <f t="shared" si="15"/>
        <v>2047000</v>
      </c>
      <c r="U54" s="116">
        <f t="shared" si="8"/>
        <v>0</v>
      </c>
    </row>
    <row r="55" spans="1:22" x14ac:dyDescent="0.2">
      <c r="A55" s="191" t="s">
        <v>80</v>
      </c>
      <c r="B55" s="148" t="s">
        <v>81</v>
      </c>
      <c r="C55" s="193">
        <v>0</v>
      </c>
      <c r="D55" s="98">
        <f>'LIBRO DE PRESUPUESTO'!F480</f>
        <v>15000000</v>
      </c>
      <c r="E55" s="99">
        <f>'LIBRO DE PRESUPUESTO'!G480</f>
        <v>6000000</v>
      </c>
      <c r="F55" s="100">
        <f>'LIBRO DE PRESUPUESTO'!H480</f>
        <v>99010</v>
      </c>
      <c r="G55" s="129">
        <f t="shared" si="18"/>
        <v>20900990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f>'LIBRO DE PRESUPUESTO'!J483</f>
        <v>20900990</v>
      </c>
      <c r="R55" s="131">
        <v>0</v>
      </c>
      <c r="S55" s="131">
        <v>0</v>
      </c>
      <c r="T55" s="132">
        <f t="shared" si="15"/>
        <v>20900990</v>
      </c>
      <c r="U55" s="116">
        <f t="shared" si="8"/>
        <v>0</v>
      </c>
    </row>
    <row r="56" spans="1:22" x14ac:dyDescent="0.2">
      <c r="A56" s="191">
        <v>2020120213</v>
      </c>
      <c r="B56" s="148" t="s">
        <v>83</v>
      </c>
      <c r="C56" s="193">
        <v>0</v>
      </c>
      <c r="D56" s="98">
        <f>'LIBRO DE PRESUPUESTO'!F487</f>
        <v>3000000</v>
      </c>
      <c r="E56" s="99"/>
      <c r="F56" s="100">
        <f>'LIBRO DE PRESUPUESTO'!H488</f>
        <v>3000000</v>
      </c>
      <c r="G56" s="129">
        <f t="shared" si="18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15"/>
        <v>0</v>
      </c>
      <c r="U56" s="116">
        <f t="shared" si="8"/>
        <v>0</v>
      </c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18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15"/>
        <v>0</v>
      </c>
      <c r="U57" s="116">
        <f t="shared" si="8"/>
        <v>0</v>
      </c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>
        <f>'LIBRO DE PRESUPUESTO'!G493</f>
        <v>340000</v>
      </c>
      <c r="F58" s="100">
        <f>'LIBRO DE PRESUPUESTO'!H493</f>
        <v>88000</v>
      </c>
      <c r="G58" s="129">
        <f t="shared" si="18"/>
        <v>1202000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/>
      <c r="S58" s="131">
        <f>'LIBRO DE PRESUPUESTO'!J495</f>
        <v>1202000</v>
      </c>
      <c r="T58" s="132">
        <f t="shared" si="15"/>
        <v>1202000</v>
      </c>
      <c r="U58" s="116">
        <f t="shared" si="8"/>
        <v>0</v>
      </c>
    </row>
    <row r="59" spans="1:22" x14ac:dyDescent="0.2">
      <c r="A59" s="192">
        <v>20201203</v>
      </c>
      <c r="B59" s="192" t="s">
        <v>191</v>
      </c>
      <c r="C59" s="194">
        <f>C60</f>
        <v>0</v>
      </c>
      <c r="D59" s="194">
        <f>D60</f>
        <v>0</v>
      </c>
      <c r="E59" s="194">
        <f>E60</f>
        <v>1092063</v>
      </c>
      <c r="F59" s="194">
        <f>F60</f>
        <v>0</v>
      </c>
      <c r="G59" s="194">
        <f>G60</f>
        <v>1092063</v>
      </c>
      <c r="H59" s="194">
        <f t="shared" ref="H59:R59" si="19">H60</f>
        <v>0</v>
      </c>
      <c r="I59" s="194">
        <f t="shared" si="19"/>
        <v>0</v>
      </c>
      <c r="J59" s="194">
        <f t="shared" si="19"/>
        <v>0</v>
      </c>
      <c r="K59" s="194">
        <f t="shared" si="19"/>
        <v>0</v>
      </c>
      <c r="L59" s="194">
        <f t="shared" si="19"/>
        <v>222173</v>
      </c>
      <c r="M59" s="194">
        <f t="shared" si="19"/>
        <v>112931</v>
      </c>
      <c r="N59" s="194">
        <f t="shared" si="19"/>
        <v>93653</v>
      </c>
      <c r="O59" s="194">
        <f t="shared" si="19"/>
        <v>144823</v>
      </c>
      <c r="P59" s="194">
        <f t="shared" si="19"/>
        <v>0</v>
      </c>
      <c r="Q59" s="194">
        <f t="shared" si="19"/>
        <v>167552</v>
      </c>
      <c r="R59" s="194">
        <f t="shared" si="19"/>
        <v>138397</v>
      </c>
      <c r="S59" s="194">
        <f>S60</f>
        <v>212534</v>
      </c>
      <c r="T59" s="194">
        <f>T60</f>
        <v>1092063</v>
      </c>
      <c r="U59" s="116">
        <f t="shared" si="8"/>
        <v>0</v>
      </c>
    </row>
    <row r="60" spans="1:22" x14ac:dyDescent="0.2">
      <c r="A60" s="191">
        <v>2020120301</v>
      </c>
      <c r="B60" s="31" t="s">
        <v>191</v>
      </c>
      <c r="C60" s="426">
        <v>0</v>
      </c>
      <c r="D60" s="98"/>
      <c r="E60" s="427">
        <f>'LIBRO DE PRESUPUESTO'!G498</f>
        <v>1092063</v>
      </c>
      <c r="F60" s="428"/>
      <c r="G60" s="129">
        <f t="shared" si="18"/>
        <v>1092063</v>
      </c>
      <c r="H60" s="429"/>
      <c r="I60" s="429"/>
      <c r="J60" s="429"/>
      <c r="K60" s="429"/>
      <c r="L60" s="429">
        <f>'LIBRO DE PRESUPUESTO'!J500</f>
        <v>222173</v>
      </c>
      <c r="M60" s="429">
        <f>'LIBRO DE PRESUPUESTO'!J501</f>
        <v>112931</v>
      </c>
      <c r="N60" s="429">
        <f>+'LIBRO DE PRESUPUESTO'!J502</f>
        <v>93653</v>
      </c>
      <c r="O60" s="429">
        <f>+'LIBRO DE PRESUPUESTO'!J503</f>
        <v>144823</v>
      </c>
      <c r="P60" s="429"/>
      <c r="Q60" s="429">
        <f>+'LIBRO DE PRESUPUESTO'!J504</f>
        <v>167552</v>
      </c>
      <c r="R60" s="429">
        <f>+'LIBRO DE PRESUPUESTO'!J505</f>
        <v>138397</v>
      </c>
      <c r="S60" s="429">
        <f>+'LIBRO DE PRESUPUESTO'!J506+'LIBRO DE PRESUPUESTO'!J508</f>
        <v>212534</v>
      </c>
      <c r="T60" s="430">
        <f>SUM(H60:S60)</f>
        <v>1092063</v>
      </c>
      <c r="U60" s="116">
        <f t="shared" si="8"/>
        <v>0</v>
      </c>
    </row>
    <row r="61" spans="1:22" x14ac:dyDescent="0.2">
      <c r="A61" s="205" t="s">
        <v>86</v>
      </c>
      <c r="B61" s="192" t="s">
        <v>155</v>
      </c>
      <c r="C61" s="192">
        <f>SUM(C62:C65)</f>
        <v>83777303</v>
      </c>
      <c r="D61" s="192">
        <f>SUM(D62:D65)</f>
        <v>0</v>
      </c>
      <c r="E61" s="192">
        <f>SUM(E62:E65)</f>
        <v>0</v>
      </c>
      <c r="F61" s="194">
        <f>SUM(F62:F65)</f>
        <v>9309781</v>
      </c>
      <c r="G61" s="194">
        <f>ROUND(SUM(G62:G65),0)</f>
        <v>74467522</v>
      </c>
      <c r="H61" s="194">
        <f t="shared" ref="H61:S61" si="20">ROUND(SUM(H62:H65),0)</f>
        <v>4986871</v>
      </c>
      <c r="I61" s="194">
        <f t="shared" si="20"/>
        <v>4450959</v>
      </c>
      <c r="J61" s="194">
        <f t="shared" si="20"/>
        <v>5314687</v>
      </c>
      <c r="K61" s="194">
        <f t="shared" si="20"/>
        <v>4738768</v>
      </c>
      <c r="L61" s="194">
        <f t="shared" si="20"/>
        <v>4738768</v>
      </c>
      <c r="M61" s="194">
        <f t="shared" si="20"/>
        <v>4765557</v>
      </c>
      <c r="N61" s="194">
        <f t="shared" si="20"/>
        <v>4363918</v>
      </c>
      <c r="O61" s="194">
        <f t="shared" si="20"/>
        <v>4446394</v>
      </c>
      <c r="P61" s="194">
        <f t="shared" si="20"/>
        <v>4446394</v>
      </c>
      <c r="Q61" s="194">
        <f t="shared" si="20"/>
        <v>4446394</v>
      </c>
      <c r="R61" s="194">
        <f t="shared" si="20"/>
        <v>4446394</v>
      </c>
      <c r="S61" s="194">
        <f t="shared" si="20"/>
        <v>23322418</v>
      </c>
      <c r="T61" s="194">
        <f>SUM(T62:T65)</f>
        <v>74467522</v>
      </c>
      <c r="U61" s="116">
        <f t="shared" si="8"/>
        <v>0</v>
      </c>
    </row>
    <row r="62" spans="1:22" x14ac:dyDescent="0.2">
      <c r="A62" s="191" t="s">
        <v>88</v>
      </c>
      <c r="B62" s="148" t="s">
        <v>89</v>
      </c>
      <c r="C62" s="190">
        <v>13146618</v>
      </c>
      <c r="D62" s="98"/>
      <c r="E62" s="99"/>
      <c r="F62" s="100">
        <f>'LIBRO DE PRESUPUESTO'!H516</f>
        <v>148421</v>
      </c>
      <c r="G62" s="129">
        <f t="shared" si="18"/>
        <v>12998197</v>
      </c>
      <c r="H62" s="130"/>
      <c r="I62" s="42"/>
      <c r="J62" s="42"/>
      <c r="K62" s="42"/>
      <c r="L62" s="42"/>
      <c r="M62" s="42"/>
      <c r="N62" s="42"/>
      <c r="O62" s="131"/>
      <c r="P62" s="131"/>
      <c r="Q62" s="131"/>
      <c r="R62" s="131"/>
      <c r="S62" s="131">
        <f>'LIBRO DE PRESUPUESTO'!J519</f>
        <v>12998197</v>
      </c>
      <c r="T62" s="132">
        <f t="shared" si="15"/>
        <v>12998197</v>
      </c>
      <c r="U62" s="116">
        <f t="shared" si="8"/>
        <v>0</v>
      </c>
    </row>
    <row r="63" spans="1:22" x14ac:dyDescent="0.2">
      <c r="A63" s="191" t="s">
        <v>90</v>
      </c>
      <c r="B63" s="148" t="s">
        <v>91</v>
      </c>
      <c r="C63" s="190">
        <v>43392204</v>
      </c>
      <c r="D63" s="98"/>
      <c r="E63" s="99"/>
      <c r="F63" s="100">
        <f>'LIBRO DE PRESUPUESTO'!H526</f>
        <v>781111</v>
      </c>
      <c r="G63" s="129">
        <f t="shared" si="18"/>
        <v>42611093</v>
      </c>
      <c r="H63" s="130">
        <f>'LIBRO DE PRESUPUESTO'!J527</f>
        <v>3356700</v>
      </c>
      <c r="I63" s="130">
        <f>+'LIBRO DE PRESUPUESTO'!J528</f>
        <v>3348793</v>
      </c>
      <c r="J63" s="130">
        <f>+'LIBRO DE PRESUPUESTO'!J529</f>
        <v>3987788</v>
      </c>
      <c r="K63" s="130">
        <f>+'LIBRO DE PRESUPUESTO'!J530</f>
        <v>3561692</v>
      </c>
      <c r="L63" s="130">
        <f>+'LIBRO DE PRESUPUESTO'!J531</f>
        <v>3561692</v>
      </c>
      <c r="M63" s="130">
        <f>+'LIBRO DE PRESUPUESTO'!J532</f>
        <v>3520684</v>
      </c>
      <c r="N63" s="130">
        <f>+'LIBRO DE PRESUPUESTO'!J533+'LIBRO DE PRESUPUESTO'!J534</f>
        <v>3482954</v>
      </c>
      <c r="O63" s="130">
        <f>+'LIBRO DE PRESUPUESTO'!J535</f>
        <v>3558158</v>
      </c>
      <c r="P63" s="130">
        <f>+'LIBRO DE PRESUPUESTO'!J536</f>
        <v>3558158</v>
      </c>
      <c r="Q63" s="130">
        <f>+'LIBRO DE PRESUPUESTO'!J537</f>
        <v>3558158</v>
      </c>
      <c r="R63" s="130">
        <f>+'LIBRO DE PRESUPUESTO'!J539</f>
        <v>3558158</v>
      </c>
      <c r="S63" s="130">
        <f>+'LIBRO DE PRESUPUESTO'!J540</f>
        <v>3558158</v>
      </c>
      <c r="T63" s="132">
        <f t="shared" si="15"/>
        <v>42611093</v>
      </c>
      <c r="U63" s="116">
        <f t="shared" si="8"/>
        <v>0</v>
      </c>
      <c r="V63" s="116"/>
    </row>
    <row r="64" spans="1:22" x14ac:dyDescent="0.2">
      <c r="A64" s="191">
        <v>2020110304</v>
      </c>
      <c r="B64" s="148" t="s">
        <v>92</v>
      </c>
      <c r="C64" s="190">
        <v>21030769</v>
      </c>
      <c r="D64" s="98"/>
      <c r="E64" s="99"/>
      <c r="F64" s="100">
        <f>'LIBRO DE PRESUPUESTO'!H541</f>
        <v>8195191</v>
      </c>
      <c r="G64" s="129">
        <f t="shared" si="18"/>
        <v>12835578</v>
      </c>
      <c r="H64" s="130">
        <f>+'LIBRO DE PRESUPUESTO'!J542</f>
        <v>1630171</v>
      </c>
      <c r="I64" s="130">
        <f>+'LIBRO DE PRESUPUESTO'!J543</f>
        <v>1102166</v>
      </c>
      <c r="J64" s="130">
        <f>+'LIBRO DE PRESUPUESTO'!J544</f>
        <v>1326899</v>
      </c>
      <c r="K64" s="130">
        <f>+'LIBRO DE PRESUPUESTO'!J545</f>
        <v>1177076</v>
      </c>
      <c r="L64" s="130">
        <f>+'LIBRO DE PRESUPUESTO'!J546</f>
        <v>1177076</v>
      </c>
      <c r="M64" s="130">
        <f>+'LIBRO DE PRESUPUESTO'!J547</f>
        <v>1100046</v>
      </c>
      <c r="N64" s="130">
        <f>+'LIBRO DE PRESUPUESTO'!J548+'LIBRO DE PRESUPUESTO'!J549</f>
        <v>880964</v>
      </c>
      <c r="O64" s="130">
        <f>+'LIBRO DE PRESUPUESTO'!J550</f>
        <v>888236</v>
      </c>
      <c r="P64" s="130">
        <f>+'LIBRO DE PRESUPUESTO'!J551</f>
        <v>888236</v>
      </c>
      <c r="Q64" s="130">
        <f>+'LIBRO DE PRESUPUESTO'!J552</f>
        <v>888236</v>
      </c>
      <c r="R64" s="130">
        <f>+'LIBRO DE PRESUPUESTO'!J554</f>
        <v>888236</v>
      </c>
      <c r="S64" s="130">
        <f>+'LIBRO DE PRESUPUESTO'!J555</f>
        <v>888236</v>
      </c>
      <c r="T64" s="132">
        <f t="shared" si="15"/>
        <v>12835578</v>
      </c>
      <c r="U64" s="116">
        <f t="shared" si="8"/>
        <v>0</v>
      </c>
    </row>
    <row r="65" spans="1:21" x14ac:dyDescent="0.2">
      <c r="A65" s="191">
        <v>2020110305</v>
      </c>
      <c r="B65" s="148" t="s">
        <v>93</v>
      </c>
      <c r="C65" s="190">
        <v>6207712</v>
      </c>
      <c r="D65" s="98"/>
      <c r="E65" s="99"/>
      <c r="F65" s="100">
        <f>'LIBRO DE PRESUPUESTO'!H559</f>
        <v>185058</v>
      </c>
      <c r="G65" s="129">
        <f t="shared" si="18"/>
        <v>6022654</v>
      </c>
      <c r="H65" s="136">
        <v>0</v>
      </c>
      <c r="I65" s="41">
        <v>0</v>
      </c>
      <c r="J65" s="41">
        <v>0</v>
      </c>
      <c r="K65" s="41">
        <v>0</v>
      </c>
      <c r="L65" s="41">
        <v>0</v>
      </c>
      <c r="M65" s="41">
        <f>+'LIBRO DE PRESUPUESTO'!J560</f>
        <v>144827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131">
        <f>+'LIBRO DE PRESUPUESTO'!J561</f>
        <v>5877827</v>
      </c>
      <c r="T65" s="132">
        <f t="shared" si="15"/>
        <v>6022654</v>
      </c>
      <c r="U65" s="116">
        <f t="shared" si="8"/>
        <v>0</v>
      </c>
    </row>
    <row r="66" spans="1:21" x14ac:dyDescent="0.2">
      <c r="A66" s="205">
        <v>20201104</v>
      </c>
      <c r="B66" s="192" t="s">
        <v>156</v>
      </c>
      <c r="C66" s="192">
        <f>SUM(C67:C76)</f>
        <v>127422616</v>
      </c>
      <c r="D66" s="192">
        <f>SUM(D67:D76)</f>
        <v>0</v>
      </c>
      <c r="E66" s="192">
        <f>SUM(E67:E76)</f>
        <v>12612743</v>
      </c>
      <c r="F66" s="192">
        <f>SUM(F67:F76)</f>
        <v>4323683</v>
      </c>
      <c r="G66" s="195">
        <f>SUM(G67:G76)</f>
        <v>135711676</v>
      </c>
      <c r="H66" s="195">
        <f t="shared" ref="H66:S66" si="21">SUM(H67:H76)</f>
        <v>8286045</v>
      </c>
      <c r="I66" s="195">
        <f t="shared" si="21"/>
        <v>7683834</v>
      </c>
      <c r="J66" s="195">
        <f t="shared" si="21"/>
        <v>8950797</v>
      </c>
      <c r="K66" s="195">
        <f t="shared" si="21"/>
        <v>7135656</v>
      </c>
      <c r="L66" s="195">
        <f t="shared" si="21"/>
        <v>7994256</v>
      </c>
      <c r="M66" s="195">
        <f t="shared" si="21"/>
        <v>9276304</v>
      </c>
      <c r="N66" s="195">
        <f t="shared" si="21"/>
        <v>10679941</v>
      </c>
      <c r="O66" s="195">
        <f t="shared" si="21"/>
        <v>8480148</v>
      </c>
      <c r="P66" s="195">
        <f t="shared" si="21"/>
        <v>8188948</v>
      </c>
      <c r="Q66" s="195">
        <f t="shared" si="21"/>
        <v>9181248</v>
      </c>
      <c r="R66" s="195">
        <f t="shared" si="21"/>
        <v>8347148</v>
      </c>
      <c r="S66" s="195">
        <f t="shared" si="21"/>
        <v>41507351</v>
      </c>
      <c r="T66" s="195">
        <f>SUM(T67:T76)</f>
        <v>135711676</v>
      </c>
      <c r="U66" s="116">
        <f t="shared" si="8"/>
        <v>0</v>
      </c>
    </row>
    <row r="67" spans="1:21" x14ac:dyDescent="0.2">
      <c r="A67" s="206" t="s">
        <v>95</v>
      </c>
      <c r="B67" s="148" t="s">
        <v>96</v>
      </c>
      <c r="C67" s="190">
        <v>38584317</v>
      </c>
      <c r="D67" s="98"/>
      <c r="E67" s="99">
        <f>'LIBRO DE PRESUPUESTO'!G571</f>
        <v>135937</v>
      </c>
      <c r="F67" s="100">
        <f>'LIBRO DE PRESUPUESTO'!H567</f>
        <v>4260715</v>
      </c>
      <c r="G67" s="129">
        <f>ROUND((C67+D67+E67-F67),0)</f>
        <v>34459539</v>
      </c>
      <c r="H67" s="25">
        <f>+'LIBRO DE PRESUPUESTO'!J568</f>
        <v>889141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f>'LIBRO DE PRESUPUESTO'!J569</f>
        <v>1206895</v>
      </c>
      <c r="O67" s="25">
        <v>0</v>
      </c>
      <c r="P67" s="25">
        <v>0</v>
      </c>
      <c r="Q67" s="25">
        <v>0</v>
      </c>
      <c r="R67" s="25">
        <v>0</v>
      </c>
      <c r="S67" s="131">
        <f>+'LIBRO DE PRESUPUESTO'!J572</f>
        <v>32363503</v>
      </c>
      <c r="T67" s="132">
        <f>ROUND(SUM(H67:S67),0)</f>
        <v>34459539</v>
      </c>
      <c r="U67" s="116">
        <f t="shared" si="8"/>
        <v>0</v>
      </c>
    </row>
    <row r="68" spans="1:21" x14ac:dyDescent="0.2">
      <c r="A68" s="191" t="s">
        <v>97</v>
      </c>
      <c r="B68" s="148" t="s">
        <v>91</v>
      </c>
      <c r="C68" s="190">
        <v>0</v>
      </c>
      <c r="D68" s="98"/>
      <c r="E68" s="99"/>
      <c r="F68" s="100"/>
      <c r="G68" s="129">
        <f t="shared" ref="G68:G76" si="22">ROUND((C68+D68+E68-F68),0)</f>
        <v>0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1"/>
      <c r="T68" s="132">
        <f t="shared" ref="T68:T78" si="23">ROUND(SUM(H68:S68),0)</f>
        <v>0</v>
      </c>
      <c r="U68" s="116">
        <f t="shared" si="8"/>
        <v>0</v>
      </c>
    </row>
    <row r="69" spans="1:21" x14ac:dyDescent="0.2">
      <c r="A69" s="191" t="s">
        <v>98</v>
      </c>
      <c r="B69" s="148" t="s">
        <v>99</v>
      </c>
      <c r="C69" s="190">
        <v>2664792</v>
      </c>
      <c r="D69" s="98"/>
      <c r="E69" s="99">
        <f>+'LIBRO DE PRESUPUESTO'!G584</f>
        <v>543708</v>
      </c>
      <c r="F69" s="100"/>
      <c r="G69" s="129">
        <f t="shared" si="22"/>
        <v>3208500</v>
      </c>
      <c r="H69" s="130">
        <f>+'LIBRO DE PRESUPUESTO'!J585</f>
        <v>267200</v>
      </c>
      <c r="I69" s="130">
        <f>+'LIBRO DE PRESUPUESTO'!J586</f>
        <v>267200</v>
      </c>
      <c r="J69" s="130">
        <f>+'LIBRO DE PRESUPUESTO'!J587</f>
        <v>318800</v>
      </c>
      <c r="K69" s="130">
        <f>+'LIBRO DE PRESUPUESTO'!J588</f>
        <v>284300</v>
      </c>
      <c r="L69" s="130">
        <f>+'LIBRO DE PRESUPUESTO'!J589</f>
        <v>284300</v>
      </c>
      <c r="M69" s="130">
        <f>+'LIBRO DE PRESUPUESTO'!J590</f>
        <v>281000</v>
      </c>
      <c r="N69" s="130">
        <f>+'LIBRO DE PRESUPUESTO'!J591</f>
        <v>280800</v>
      </c>
      <c r="O69" s="130">
        <f>+'LIBRO DE PRESUPUESTO'!J592</f>
        <v>284100</v>
      </c>
      <c r="P69" s="130">
        <f>+'LIBRO DE PRESUPUESTO'!J593</f>
        <v>284100</v>
      </c>
      <c r="Q69" s="130">
        <f>+'LIBRO DE PRESUPUESTO'!J595</f>
        <v>218900</v>
      </c>
      <c r="R69" s="130">
        <f>+'LIBRO DE PRESUPUESTO'!J595</f>
        <v>218900</v>
      </c>
      <c r="S69" s="130">
        <f>+'LIBRO DE PRESUPUESTO'!J598</f>
        <v>218900</v>
      </c>
      <c r="T69" s="132">
        <f t="shared" si="23"/>
        <v>3208500</v>
      </c>
      <c r="U69" s="116">
        <f t="shared" si="8"/>
        <v>0</v>
      </c>
    </row>
    <row r="70" spans="1:21" x14ac:dyDescent="0.2">
      <c r="A70" s="191" t="s">
        <v>100</v>
      </c>
      <c r="B70" s="148" t="s">
        <v>92</v>
      </c>
      <c r="C70" s="190">
        <v>40228819</v>
      </c>
      <c r="D70" s="98"/>
      <c r="E70" s="99">
        <f>'LIBRO DE PRESUPUESTO'!G600</f>
        <v>7162418</v>
      </c>
      <c r="F70" s="100"/>
      <c r="G70" s="129">
        <f t="shared" si="22"/>
        <v>47391237</v>
      </c>
      <c r="H70" s="130">
        <f>+'LIBRO DE PRESUPUESTO'!J601</f>
        <v>3083004</v>
      </c>
      <c r="I70" s="130">
        <f>+'LIBRO DE PRESUPUESTO'!J602</f>
        <v>3625434</v>
      </c>
      <c r="J70" s="130">
        <f>+'LIBRO DE PRESUPUESTO'!J603</f>
        <v>4407797</v>
      </c>
      <c r="K70" s="130">
        <f>+'LIBRO DE PRESUPUESTO'!J604</f>
        <v>3882956</v>
      </c>
      <c r="L70" s="130">
        <f>+'LIBRO DE PRESUPUESTO'!J605</f>
        <v>3882956</v>
      </c>
      <c r="M70" s="130">
        <f>+'LIBRO DE PRESUPUESTO'!J606</f>
        <v>3973704</v>
      </c>
      <c r="N70" s="130">
        <f>+'LIBRO DE PRESUPUESTO'!J607+'LIBRO DE PRESUPUESTO'!J608</f>
        <v>3859946</v>
      </c>
      <c r="O70" s="130">
        <f>+'LIBRO DE PRESUPUESTO'!J609</f>
        <v>4135148</v>
      </c>
      <c r="P70" s="130">
        <f>+'LIBRO DE PRESUPUESTO'!J610</f>
        <v>4135148</v>
      </c>
      <c r="Q70" s="130">
        <f>+'LIBRO DE PRESUPUESTO'!J611</f>
        <v>4135048</v>
      </c>
      <c r="R70" s="130">
        <f>+'LIBRO DE PRESUPUESTO'!J613</f>
        <v>4135048</v>
      </c>
      <c r="S70" s="130">
        <f>+'LIBRO DE PRESUPUESTO'!J614</f>
        <v>4135048</v>
      </c>
      <c r="T70" s="132">
        <f t="shared" si="23"/>
        <v>47391237</v>
      </c>
      <c r="U70" s="116">
        <f t="shared" si="8"/>
        <v>0</v>
      </c>
    </row>
    <row r="71" spans="1:21" x14ac:dyDescent="0.2">
      <c r="A71" s="191" t="s">
        <v>101</v>
      </c>
      <c r="B71" s="148" t="s">
        <v>102</v>
      </c>
      <c r="C71" s="190">
        <v>20419860</v>
      </c>
      <c r="D71" s="98"/>
      <c r="E71" s="99">
        <f>+'LIBRO DE PRESUPUESTO'!G616</f>
        <v>2060440</v>
      </c>
      <c r="F71" s="100"/>
      <c r="G71" s="129">
        <f t="shared" si="22"/>
        <v>22480300</v>
      </c>
      <c r="H71" s="130">
        <f>+'LIBRO DE PRESUPUESTO'!J617</f>
        <v>1797800</v>
      </c>
      <c r="I71" s="130">
        <f>+'LIBRO DE PRESUPUESTO'!J618</f>
        <v>1684300</v>
      </c>
      <c r="J71" s="130">
        <f>+'LIBRO DE PRESUPUESTO'!J619</f>
        <v>1876800</v>
      </c>
      <c r="K71" s="130">
        <f>+'LIBRO DE PRESUPUESTO'!J620</f>
        <v>1318600</v>
      </c>
      <c r="L71" s="130">
        <f>+'LIBRO DE PRESUPUESTO'!J621</f>
        <v>1676400</v>
      </c>
      <c r="M71" s="130">
        <f>+'LIBRO DE PRESUPUESTO'!J622</f>
        <v>2231300</v>
      </c>
      <c r="N71" s="130">
        <f>+'LIBRO DE PRESUPUESTO'!J623</f>
        <v>2369200</v>
      </c>
      <c r="O71" s="130">
        <f>+'LIBRO DE PRESUPUESTO'!J624</f>
        <v>1804500</v>
      </c>
      <c r="P71" s="130">
        <f>+'LIBRO DE PRESUPUESTO'!J625</f>
        <v>1674700</v>
      </c>
      <c r="Q71" s="130">
        <f>+'LIBRO DE PRESUPUESTO'!J626</f>
        <v>2144500</v>
      </c>
      <c r="R71" s="130">
        <f>+'LIBRO DE PRESUPUESTO'!J628</f>
        <v>1774100</v>
      </c>
      <c r="S71" s="130">
        <f>+'LIBRO DE PRESUPUESTO'!J630</f>
        <v>2128100</v>
      </c>
      <c r="T71" s="132">
        <f t="shared" si="23"/>
        <v>22480300</v>
      </c>
      <c r="U71" s="116">
        <f t="shared" si="8"/>
        <v>0</v>
      </c>
    </row>
    <row r="72" spans="1:21" x14ac:dyDescent="0.2">
      <c r="A72" s="191" t="s">
        <v>103</v>
      </c>
      <c r="B72" s="148" t="s">
        <v>104</v>
      </c>
      <c r="C72" s="190">
        <v>15314892</v>
      </c>
      <c r="D72" s="98"/>
      <c r="E72" s="99">
        <f>+'LIBRO DE PRESUPUESTO'!G632</f>
        <v>1579008</v>
      </c>
      <c r="F72" s="100"/>
      <c r="G72" s="129">
        <f t="shared" si="22"/>
        <v>16893900</v>
      </c>
      <c r="H72" s="130">
        <f>+'LIBRO DE PRESUPUESTO'!J633</f>
        <v>1348600</v>
      </c>
      <c r="I72" s="130">
        <f>+'LIBRO DE PRESUPUESTO'!J634</f>
        <v>1263400</v>
      </c>
      <c r="J72" s="130">
        <f>+'LIBRO DE PRESUPUESTO'!J635</f>
        <v>1407600</v>
      </c>
      <c r="K72" s="130">
        <f>+'LIBRO DE PRESUPUESTO'!J636</f>
        <v>989100</v>
      </c>
      <c r="L72" s="130">
        <f>+'LIBRO DE PRESUPUESTO'!J637</f>
        <v>1289500</v>
      </c>
      <c r="M72" s="130">
        <f>+'LIBRO DE PRESUPUESTO'!J638</f>
        <v>1673500</v>
      </c>
      <c r="N72" s="130">
        <f>+'LIBRO DE PRESUPUESTO'!J639</f>
        <v>1777200</v>
      </c>
      <c r="O72" s="130">
        <f>+'LIBRO DE PRESUPUESTO'!J640</f>
        <v>1353400</v>
      </c>
      <c r="P72" s="130">
        <f>+'LIBRO DE PRESUPUESTO'!J641</f>
        <v>1256200</v>
      </c>
      <c r="Q72" s="130">
        <f>+'LIBRO DE PRESUPUESTO'!J642</f>
        <v>1608400</v>
      </c>
      <c r="R72" s="130">
        <f>+'LIBRO DE PRESUPUESTO'!J644</f>
        <v>1330700</v>
      </c>
      <c r="S72" s="130">
        <f>+'LIBRO DE PRESUPUESTO'!J646</f>
        <v>1596300</v>
      </c>
      <c r="T72" s="132">
        <f t="shared" si="23"/>
        <v>16893900</v>
      </c>
      <c r="U72" s="116">
        <f t="shared" si="8"/>
        <v>0</v>
      </c>
    </row>
    <row r="73" spans="1:21" x14ac:dyDescent="0.2">
      <c r="A73" s="191" t="s">
        <v>105</v>
      </c>
      <c r="B73" s="148" t="s">
        <v>106</v>
      </c>
      <c r="C73" s="190">
        <v>2552484</v>
      </c>
      <c r="D73" s="98"/>
      <c r="E73" s="99">
        <f>+'LIBRO DE PRESUPUESTO'!G648</f>
        <v>300000</v>
      </c>
      <c r="F73" s="100">
        <f>'LIBRO DE PRESUPUESTO'!H648</f>
        <v>31484</v>
      </c>
      <c r="G73" s="129">
        <f t="shared" si="22"/>
        <v>2821000</v>
      </c>
      <c r="H73" s="130">
        <f>'LIBRO DE PRESUPUESTO'!J649</f>
        <v>225200</v>
      </c>
      <c r="I73" s="130">
        <f>+'LIBRO DE PRESUPUESTO'!J650</f>
        <v>211000</v>
      </c>
      <c r="J73" s="130">
        <f>+'LIBRO DE PRESUPUESTO'!J651</f>
        <v>235100</v>
      </c>
      <c r="K73" s="130">
        <f>+'LIBRO DE PRESUPUESTO'!J652</f>
        <v>165300</v>
      </c>
      <c r="L73" s="130">
        <f>+'LIBRO DE PRESUPUESTO'!J653</f>
        <v>215400</v>
      </c>
      <c r="M73" s="130">
        <f>+'LIBRO DE PRESUPUESTO'!J654</f>
        <v>279300</v>
      </c>
      <c r="N73" s="130">
        <f>+'LIBRO DE PRESUPUESTO'!J655</f>
        <v>296600</v>
      </c>
      <c r="O73" s="130">
        <f>+'LIBRO DE PRESUPUESTO'!J656</f>
        <v>226000</v>
      </c>
      <c r="P73" s="130">
        <f>+'LIBRO DE PRESUPUESTO'!J657</f>
        <v>209800</v>
      </c>
      <c r="Q73" s="130">
        <f>+'LIBRO DE PRESUPUESTO'!J658</f>
        <v>268600</v>
      </c>
      <c r="R73" s="130">
        <f>+'LIBRO DE PRESUPUESTO'!J660</f>
        <v>222200</v>
      </c>
      <c r="S73" s="130">
        <f>+'LIBRO DE PRESUPUESTO'!J677</f>
        <v>266500</v>
      </c>
      <c r="T73" s="132">
        <f t="shared" si="23"/>
        <v>2821000</v>
      </c>
      <c r="U73" s="116">
        <f t="shared" si="8"/>
        <v>0</v>
      </c>
    </row>
    <row r="74" spans="1:21" x14ac:dyDescent="0.2">
      <c r="A74" s="191" t="s">
        <v>107</v>
      </c>
      <c r="B74" s="148" t="s">
        <v>108</v>
      </c>
      <c r="C74" s="190">
        <v>2552484</v>
      </c>
      <c r="D74" s="98"/>
      <c r="E74" s="99">
        <f>+'LIBRO DE PRESUPUESTO'!G659</f>
        <v>300000</v>
      </c>
      <c r="F74" s="100">
        <f>+'LIBRO DE PRESUPUESTO'!H663</f>
        <v>31484</v>
      </c>
      <c r="G74" s="129">
        <f t="shared" si="22"/>
        <v>2821000</v>
      </c>
      <c r="H74" s="130">
        <v>225200</v>
      </c>
      <c r="I74" s="130">
        <v>211000</v>
      </c>
      <c r="J74" s="130">
        <v>235100</v>
      </c>
      <c r="K74" s="130">
        <v>165300</v>
      </c>
      <c r="L74" s="130">
        <v>215400</v>
      </c>
      <c r="M74" s="130">
        <v>279300</v>
      </c>
      <c r="N74" s="130">
        <v>296600</v>
      </c>
      <c r="O74" s="130">
        <v>226000</v>
      </c>
      <c r="P74" s="130">
        <v>209800</v>
      </c>
      <c r="Q74" s="130">
        <v>268600</v>
      </c>
      <c r="R74" s="130">
        <v>222200</v>
      </c>
      <c r="S74" s="130">
        <v>266500</v>
      </c>
      <c r="T74" s="132">
        <f t="shared" si="23"/>
        <v>2821000</v>
      </c>
      <c r="U74" s="116">
        <f t="shared" si="8"/>
        <v>0</v>
      </c>
    </row>
    <row r="75" spans="1:21" x14ac:dyDescent="0.2">
      <c r="A75" s="191" t="s">
        <v>109</v>
      </c>
      <c r="B75" s="148" t="s">
        <v>110</v>
      </c>
      <c r="C75" s="190">
        <v>5104968</v>
      </c>
      <c r="D75" s="98"/>
      <c r="E75" s="99">
        <f>'LIBRO DE PRESUPUESTO'!G683</f>
        <v>531232</v>
      </c>
      <c r="F75" s="100"/>
      <c r="G75" s="129">
        <f t="shared" si="22"/>
        <v>5636200</v>
      </c>
      <c r="H75" s="130">
        <f>+'LIBRO DE PRESUPUESTO'!J684</f>
        <v>449900</v>
      </c>
      <c r="I75" s="130">
        <f>+'LIBRO DE PRESUPUESTO'!J685</f>
        <v>421500</v>
      </c>
      <c r="J75" s="130">
        <f>+'LIBRO DE PRESUPUESTO'!J686</f>
        <v>469600</v>
      </c>
      <c r="K75" s="130">
        <f>+'LIBRO DE PRESUPUESTO'!J687</f>
        <v>330100</v>
      </c>
      <c r="L75" s="130">
        <f>+'LIBRO DE PRESUPUESTO'!J688</f>
        <v>430300</v>
      </c>
      <c r="M75" s="130">
        <f>+'LIBRO DE PRESUPUESTO'!J689</f>
        <v>558200</v>
      </c>
      <c r="N75" s="130">
        <f>+'LIBRO DE PRESUPUESTO'!J690</f>
        <v>592700</v>
      </c>
      <c r="O75" s="130">
        <f>+'LIBRO DE PRESUPUESTO'!J691</f>
        <v>451000</v>
      </c>
      <c r="P75" s="130">
        <f>+'LIBRO DE PRESUPUESTO'!J692</f>
        <v>419200</v>
      </c>
      <c r="Q75" s="130">
        <f>+'LIBRO DE PRESUPUESTO'!J693+'LIBRO DE PRESUPUESTO'!J694</f>
        <v>537200</v>
      </c>
      <c r="R75" s="130">
        <f>+'LIBRO DE PRESUPUESTO'!J695</f>
        <v>444000</v>
      </c>
      <c r="S75" s="130">
        <f>+'LIBRO DE PRESUPUESTO'!J697</f>
        <v>532500</v>
      </c>
      <c r="T75" s="132">
        <f t="shared" si="23"/>
        <v>5636200</v>
      </c>
      <c r="U75" s="116">
        <f t="shared" si="8"/>
        <v>0</v>
      </c>
    </row>
    <row r="76" spans="1:21" x14ac:dyDescent="0.2">
      <c r="A76" s="191" t="s">
        <v>111</v>
      </c>
      <c r="B76" s="148" t="s">
        <v>112</v>
      </c>
      <c r="C76" s="193">
        <v>0</v>
      </c>
      <c r="D76" s="98">
        <v>0</v>
      </c>
      <c r="E76" s="99">
        <v>0</v>
      </c>
      <c r="F76" s="100">
        <v>0</v>
      </c>
      <c r="G76" s="129">
        <f t="shared" si="22"/>
        <v>0</v>
      </c>
      <c r="H76" s="130"/>
      <c r="I76" s="130"/>
      <c r="J76" s="130">
        <v>0</v>
      </c>
      <c r="K76" s="130">
        <v>0</v>
      </c>
      <c r="L76" s="130">
        <v>0</v>
      </c>
      <c r="M76" s="130">
        <v>0</v>
      </c>
      <c r="N76" s="130"/>
      <c r="O76" s="130">
        <v>0</v>
      </c>
      <c r="P76" s="130">
        <v>0</v>
      </c>
      <c r="Q76" s="131">
        <f>ROUND($G$76/12,-1)</f>
        <v>0</v>
      </c>
      <c r="R76" s="131">
        <f>ROUND($G$76/12,-1)</f>
        <v>0</v>
      </c>
      <c r="S76" s="131">
        <f>G76-SUM(H76:R76)</f>
        <v>0</v>
      </c>
      <c r="T76" s="132">
        <f t="shared" si="23"/>
        <v>0</v>
      </c>
      <c r="U76" s="116">
        <f t="shared" si="8"/>
        <v>0</v>
      </c>
    </row>
    <row r="77" spans="1:21" x14ac:dyDescent="0.2">
      <c r="A77" s="205">
        <v>20201301</v>
      </c>
      <c r="B77" s="192" t="s">
        <v>116</v>
      </c>
      <c r="C77" s="194">
        <f t="shared" ref="C77:T77" si="24">C78</f>
        <v>0</v>
      </c>
      <c r="D77" s="195">
        <f t="shared" si="24"/>
        <v>45000000</v>
      </c>
      <c r="E77" s="195">
        <f t="shared" si="24"/>
        <v>2727400</v>
      </c>
      <c r="F77" s="195">
        <f t="shared" si="24"/>
        <v>0</v>
      </c>
      <c r="G77" s="195">
        <f t="shared" si="24"/>
        <v>47727400</v>
      </c>
      <c r="H77" s="192">
        <f t="shared" si="24"/>
        <v>0</v>
      </c>
      <c r="I77" s="192">
        <f t="shared" si="24"/>
        <v>0</v>
      </c>
      <c r="J77" s="192">
        <f t="shared" si="24"/>
        <v>0</v>
      </c>
      <c r="K77" s="192">
        <f t="shared" si="24"/>
        <v>0</v>
      </c>
      <c r="L77" s="192">
        <f t="shared" si="24"/>
        <v>0</v>
      </c>
      <c r="M77" s="192">
        <f t="shared" si="24"/>
        <v>0</v>
      </c>
      <c r="N77" s="192">
        <f t="shared" si="24"/>
        <v>0</v>
      </c>
      <c r="O77" s="192">
        <f t="shared" si="24"/>
        <v>0</v>
      </c>
      <c r="P77" s="192">
        <f t="shared" si="24"/>
        <v>0</v>
      </c>
      <c r="Q77" s="192">
        <f t="shared" si="24"/>
        <v>0</v>
      </c>
      <c r="R77" s="192">
        <f t="shared" si="24"/>
        <v>0</v>
      </c>
      <c r="S77" s="192">
        <f t="shared" si="24"/>
        <v>47003500</v>
      </c>
      <c r="T77" s="192">
        <f t="shared" si="24"/>
        <v>47003500</v>
      </c>
      <c r="U77" s="116">
        <f t="shared" si="8"/>
        <v>723900</v>
      </c>
    </row>
    <row r="78" spans="1:21" ht="13.5" thickBot="1" x14ac:dyDescent="0.25">
      <c r="A78" s="196">
        <v>2020130101</v>
      </c>
      <c r="B78" s="150" t="s">
        <v>165</v>
      </c>
      <c r="C78" s="132">
        <v>0</v>
      </c>
      <c r="D78" s="431">
        <f>+'LIBRO DE PRESUPUESTO'!F711</f>
        <v>45000000</v>
      </c>
      <c r="E78" s="432">
        <f>+'LIBRO DE PRESUPUESTO'!G712</f>
        <v>2727400</v>
      </c>
      <c r="F78" s="433"/>
      <c r="G78" s="198">
        <f t="shared" si="18"/>
        <v>47727400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/>
      <c r="O78" s="199">
        <v>0</v>
      </c>
      <c r="P78" s="199"/>
      <c r="Q78" s="199"/>
      <c r="R78" s="199"/>
      <c r="S78" s="199">
        <f>+'LIBRO DE PRESUPUESTO'!J711+'LIBRO DE PRESUPUESTO'!J712</f>
        <v>47003500</v>
      </c>
      <c r="T78" s="132">
        <f t="shared" si="23"/>
        <v>47003500</v>
      </c>
      <c r="U78" s="116">
        <f t="shared" si="8"/>
        <v>723900</v>
      </c>
    </row>
    <row r="79" spans="1:21" x14ac:dyDescent="0.2">
      <c r="A79" s="192"/>
      <c r="B79" s="192" t="s">
        <v>157</v>
      </c>
      <c r="C79" s="195">
        <f>C66+C61+C43+C38+C33+C23+C77</f>
        <v>973593066</v>
      </c>
      <c r="D79" s="195">
        <f>D66+D61+D43+D38+D33+D23+D77</f>
        <v>241428242</v>
      </c>
      <c r="E79" s="195">
        <f>E66+E61+E43+E38+E33+E23+E60+E77</f>
        <v>104380086</v>
      </c>
      <c r="F79" s="195">
        <f t="shared" ref="F79:R79" si="25">F66+F61+F43+F38+F33+F23</f>
        <v>104380086</v>
      </c>
      <c r="G79" s="195">
        <f>G66+G61+G43+G38+G33+G23+G77+G59</f>
        <v>1215021308</v>
      </c>
      <c r="H79" s="195">
        <f t="shared" si="25"/>
        <v>91320768</v>
      </c>
      <c r="I79" s="195">
        <f t="shared" si="25"/>
        <v>83851554</v>
      </c>
      <c r="J79" s="195">
        <f t="shared" si="25"/>
        <v>95885639</v>
      </c>
      <c r="K79" s="195">
        <f t="shared" si="25"/>
        <v>62170771</v>
      </c>
      <c r="L79" s="195">
        <f t="shared" si="25"/>
        <v>80045014</v>
      </c>
      <c r="M79" s="195">
        <f t="shared" si="25"/>
        <v>75299250</v>
      </c>
      <c r="N79" s="195">
        <f t="shared" si="25"/>
        <v>105009426</v>
      </c>
      <c r="O79" s="195">
        <f t="shared" si="25"/>
        <v>86226977</v>
      </c>
      <c r="P79" s="195">
        <f>P66+P61+P43+P38+P33+P23+P77</f>
        <v>75500362</v>
      </c>
      <c r="Q79" s="195">
        <f t="shared" si="25"/>
        <v>139988267</v>
      </c>
      <c r="R79" s="195">
        <f t="shared" si="25"/>
        <v>71870964</v>
      </c>
      <c r="S79" s="195">
        <f>S23+S33+S38+S43+S61+S66+S77</f>
        <v>246036353</v>
      </c>
      <c r="T79" s="195">
        <f>T77+T66+T61+T43+T38+T33+T23+T59</f>
        <v>1214297408</v>
      </c>
      <c r="U79" s="116">
        <f t="shared" si="8"/>
        <v>723900</v>
      </c>
    </row>
    <row r="80" spans="1:21" x14ac:dyDescent="0.2">
      <c r="B80" s="106"/>
      <c r="C80" s="107"/>
      <c r="D80" s="108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9"/>
    </row>
    <row r="81" spans="2:20" x14ac:dyDescent="0.2">
      <c r="B81" s="106"/>
      <c r="C81" s="107"/>
      <c r="D81" s="106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9"/>
    </row>
    <row r="82" spans="2:20" x14ac:dyDescent="0.2">
      <c r="B82" s="106"/>
      <c r="C82" s="102"/>
      <c r="D82" s="106"/>
      <c r="E82" s="102"/>
      <c r="F82" s="102"/>
      <c r="G82" s="118" t="s">
        <v>160</v>
      </c>
      <c r="H82" s="102"/>
      <c r="I82" s="102"/>
      <c r="J82" s="102"/>
      <c r="K82" s="102"/>
      <c r="L82" s="102"/>
      <c r="M82" s="102"/>
      <c r="N82" s="102"/>
      <c r="O82" s="102"/>
      <c r="P82" s="118" t="s">
        <v>158</v>
      </c>
      <c r="Q82" s="102"/>
      <c r="R82" s="102"/>
      <c r="S82" s="102"/>
      <c r="T82" s="137"/>
    </row>
    <row r="83" spans="2:20" x14ac:dyDescent="0.2">
      <c r="B83" s="106"/>
      <c r="C83" s="197"/>
      <c r="D83" s="106"/>
      <c r="E83" s="102"/>
      <c r="F83" s="138" t="s">
        <v>164</v>
      </c>
      <c r="G83" s="118"/>
      <c r="H83" s="102"/>
      <c r="I83" s="102"/>
      <c r="J83" s="102"/>
      <c r="K83" s="102"/>
      <c r="L83" s="102"/>
      <c r="M83" s="102"/>
      <c r="N83" s="102"/>
      <c r="O83" s="102"/>
      <c r="P83" s="102" t="s">
        <v>159</v>
      </c>
      <c r="Q83" s="118"/>
      <c r="R83" s="102"/>
      <c r="S83" s="102"/>
      <c r="T83" s="137"/>
    </row>
    <row r="84" spans="2:20" ht="13.5" thickBot="1" x14ac:dyDescent="0.25">
      <c r="B84" s="119"/>
      <c r="C84" s="139"/>
      <c r="D84" s="119"/>
      <c r="E84" s="139"/>
      <c r="F84" s="140"/>
      <c r="G84" s="140"/>
      <c r="H84" s="139"/>
      <c r="I84" s="139"/>
      <c r="J84" s="139"/>
      <c r="K84" s="139"/>
      <c r="L84" s="139"/>
      <c r="M84" s="139"/>
      <c r="N84" s="139"/>
      <c r="O84" s="139"/>
      <c r="P84" s="141"/>
      <c r="Q84" s="139"/>
      <c r="R84" s="139"/>
      <c r="S84" s="139"/>
      <c r="T84" s="142"/>
    </row>
    <row r="88" spans="2:20" x14ac:dyDescent="0.2">
      <c r="G88" s="116"/>
    </row>
    <row r="90" spans="2:20" x14ac:dyDescent="0.2">
      <c r="G90" s="116"/>
    </row>
    <row r="93" spans="2:20" x14ac:dyDescent="0.2">
      <c r="G93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26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240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171474367</v>
      </c>
      <c r="J8" s="65">
        <f>SUM(J9:J19)</f>
        <v>43113053</v>
      </c>
      <c r="K8" s="66">
        <f>L8/H8</f>
        <v>0.32511221586017042</v>
      </c>
      <c r="L8" s="67">
        <f>I8+J8</f>
        <v>214587420</v>
      </c>
      <c r="M8" s="65">
        <f>SUM(M9:M19)</f>
        <v>445453665.91321969</v>
      </c>
      <c r="N8" s="68">
        <f>M8/H8</f>
        <v>0.67488778413982942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ABRIL!I9+ABRIL!J9</f>
        <v>161630742</v>
      </c>
      <c r="J9" s="41">
        <f>'LIBRO DE PRESUPUESTO'!J12</f>
        <v>41895205</v>
      </c>
      <c r="K9" s="15">
        <f>L9/H9</f>
        <v>0.3999917624386613</v>
      </c>
      <c r="L9" s="23">
        <f t="shared" ref="L9:L15" si="1">J9+I9</f>
        <v>203525947</v>
      </c>
      <c r="M9" s="24">
        <f>H9-L9</f>
        <v>305299399.20000005</v>
      </c>
      <c r="N9" s="17">
        <f>M9/H9</f>
        <v>0.6000082375613387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ABRIL!I10+ABRIL!J10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ABRIL!I11+ABRIL!J11</f>
        <v>323440</v>
      </c>
      <c r="J11" s="21">
        <f>'LIBRO DE PRESUPUESTO'!J35</f>
        <v>88211</v>
      </c>
      <c r="K11" s="15">
        <f>L11/H11</f>
        <v>0.38204467698393607</v>
      </c>
      <c r="L11" s="23">
        <f t="shared" si="1"/>
        <v>411651</v>
      </c>
      <c r="M11" s="24">
        <f t="shared" si="3"/>
        <v>665843.39999999991</v>
      </c>
      <c r="N11" s="17">
        <f>M11/H11</f>
        <v>0.61795532301606393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2"/>
        <v>1484049.6</v>
      </c>
      <c r="I12" s="21">
        <f>ABRIL!I12+ABRIL!J12</f>
        <v>429212</v>
      </c>
      <c r="J12" s="21">
        <f>'LIBRO DE PRESUPUESTO'!J51</f>
        <v>60170</v>
      </c>
      <c r="K12" s="15">
        <f t="shared" ref="K12:K48" si="4">L12/H12</f>
        <v>0.32976121552810633</v>
      </c>
      <c r="L12" s="23">
        <f t="shared" si="1"/>
        <v>489382</v>
      </c>
      <c r="M12" s="24">
        <f t="shared" si="3"/>
        <v>994667.60000000009</v>
      </c>
      <c r="N12" s="17">
        <f>M12/H12</f>
        <v>0.67023878447189367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ABRIL!I13+ABRIL!J13</f>
        <v>3547745</v>
      </c>
      <c r="J13" s="41">
        <f>'LIBRO DE PRESUPUESTO'!J69</f>
        <v>1069467</v>
      </c>
      <c r="K13" s="15">
        <f t="shared" si="4"/>
        <v>0.30706202812882499</v>
      </c>
      <c r="L13" s="23">
        <f t="shared" si="1"/>
        <v>4617212</v>
      </c>
      <c r="M13" s="24">
        <f t="shared" si="3"/>
        <v>10419528.388045937</v>
      </c>
      <c r="N13" s="17">
        <f>M13/H13</f>
        <v>0.69293797187117501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ABRIL!I14+ABRIL!J14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ABRIL!I15+ABRIL!J15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ABRIL!I16+ABRIL!J16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ABRIL!I17+ABRIL!J17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ABRIL!I18+ABRIL!J18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ABRIL!I19+ABRIL!J19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ABRIL!I21+ABRIL!J21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ABRIL!I22+ABRIL!J22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ABRIL!I23+ABRIL!J23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ABRIL!I24+ABRIL!J24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16895400</v>
      </c>
      <c r="J25" s="65">
        <f t="shared" si="7"/>
        <v>3757200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ABRIL!I26+ABRIL!J26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ABRIL!I27+ABRIL!J27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ABRIL!I28+ABRIL!J28</f>
        <v>16895400</v>
      </c>
      <c r="J28" s="21">
        <f>'LIBRO DE PRESUPUESTO'!J168+'LIBRO DE PRESUPUESTO'!J169</f>
        <v>3757200</v>
      </c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ABRIL!I29+ABRIL!J29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ABRIL!I30+ABRIL!J30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58599588</v>
      </c>
      <c r="J31" s="65">
        <f t="shared" si="8"/>
        <v>20441737</v>
      </c>
      <c r="K31" s="66">
        <f>L31/H31</f>
        <v>0.39903677147022149</v>
      </c>
      <c r="L31" s="67">
        <f>I31+J31</f>
        <v>79041325</v>
      </c>
      <c r="M31" s="72">
        <f>SUM(M32:M48)</f>
        <v>119038979</v>
      </c>
      <c r="N31" s="68">
        <f>M31/H31</f>
        <v>0.60096322852977846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ABRIL!I32+ABRIL!J32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ABRIL!I33+ABRIL!J33</f>
        <v>1085000</v>
      </c>
      <c r="J33" s="21">
        <f>'LIBRO DE PRESUPUESTO'!J196</f>
        <v>1196000</v>
      </c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ABRIL!I34+ABRIL!J34</f>
        <v>27546168</v>
      </c>
      <c r="J34" s="21">
        <f>SUM('LIBRO DE PRESUPUESTO'!J242:J258)-5638390</f>
        <v>11752160</v>
      </c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ABRIL!I35+ABRIL!J35</f>
        <v>0</v>
      </c>
      <c r="J35" s="21">
        <v>5638390</v>
      </c>
      <c r="K35" s="15">
        <f t="shared" si="4"/>
        <v>0.1127678</v>
      </c>
      <c r="L35" s="23">
        <f t="shared" si="10"/>
        <v>5638390</v>
      </c>
      <c r="M35" s="24">
        <f t="shared" si="3"/>
        <v>44361610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ABRIL!I36+ABRIL!J36</f>
        <v>367000</v>
      </c>
      <c r="J36" s="41">
        <f>'LIBRO DE PRESUPUESTO'!J344</f>
        <v>167100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ABRIL!I37+ABRIL!J37</f>
        <v>3142400</v>
      </c>
      <c r="J37" s="41">
        <f>'LIBRO DE PRESUPUESTO'!J366</f>
        <v>583800</v>
      </c>
      <c r="K37" s="15">
        <f t="shared" si="4"/>
        <v>0.3450185185185185</v>
      </c>
      <c r="L37" s="23">
        <f t="shared" si="10"/>
        <v>3726200</v>
      </c>
      <c r="M37" s="24">
        <f t="shared" si="3"/>
        <v>7073800</v>
      </c>
      <c r="N37" s="17">
        <f>M37/H37</f>
        <v>0.6549814814814815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ABRIL!I38+ABRIL!J38</f>
        <v>1992848</v>
      </c>
      <c r="J38" s="41">
        <f>SUM('LIBRO DE PRESUPUESTO'!J388:J390)</f>
        <v>471997</v>
      </c>
      <c r="K38" s="15">
        <f t="shared" si="4"/>
        <v>0.37346136363636362</v>
      </c>
      <c r="L38" s="23">
        <f t="shared" si="10"/>
        <v>2464845</v>
      </c>
      <c r="M38" s="24">
        <f t="shared" si="3"/>
        <v>4135155</v>
      </c>
      <c r="N38" s="17">
        <f>M38/H38</f>
        <v>0.62653863636363638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ABRIL!I39+ABRIL!J39</f>
        <v>499920</v>
      </c>
      <c r="J39" s="25">
        <f>'LIBRO DE PRESUPUESTO'!J423+'LIBRO DE PRESUPUESTO'!J424</f>
        <v>132290</v>
      </c>
      <c r="K39" s="15">
        <f t="shared" si="4"/>
        <v>0.32927604166666669</v>
      </c>
      <c r="L39" s="23">
        <f t="shared" si="10"/>
        <v>632210</v>
      </c>
      <c r="M39" s="24">
        <f t="shared" si="3"/>
        <v>1287790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ABRIL!I40+ABRIL!J40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ABRIL!I41+ABRIL!J41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9"/>
        <v>8631976</v>
      </c>
      <c r="I42" s="21">
        <f>ABRIL!I42+ABRIL!J42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ABRIL!I43+ABRIL!J43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ABRIL!I44+ABRIL!J44</f>
        <v>0</v>
      </c>
      <c r="J44" s="43">
        <f>'LIBRO DE PRESUPUESTO'!J475</f>
        <v>500000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ABRIL!I45+ABRIL!J45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ABRIL!I46+ABRIL!J46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ABRIL!I47+ABRIL!J47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ABRIL!I48+ABRIL!J48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296">
        <f t="shared" ref="C49:J49" si="12">C50</f>
        <v>0</v>
      </c>
      <c r="D49" s="296">
        <f t="shared" si="12"/>
        <v>0</v>
      </c>
      <c r="E49" s="296">
        <f t="shared" si="12"/>
        <v>0</v>
      </c>
      <c r="F49" s="296">
        <f t="shared" si="12"/>
        <v>1000000</v>
      </c>
      <c r="G49" s="296">
        <f t="shared" si="12"/>
        <v>0</v>
      </c>
      <c r="H49" s="296">
        <f t="shared" si="12"/>
        <v>1000000</v>
      </c>
      <c r="I49" s="297">
        <f t="shared" si="12"/>
        <v>0</v>
      </c>
      <c r="J49" s="309">
        <f t="shared" si="12"/>
        <v>335104</v>
      </c>
      <c r="K49" s="298">
        <v>0</v>
      </c>
      <c r="L49" s="63">
        <f t="shared" si="10"/>
        <v>335104</v>
      </c>
      <c r="M49" s="299">
        <f>M50</f>
        <v>664896</v>
      </c>
      <c r="N49" s="310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295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f>'LIBRO DE PRESUPUESTO'!J500+'LIBRO DE PRESUPUESTO'!J501</f>
        <v>335104</v>
      </c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19491285</v>
      </c>
      <c r="J51" s="70">
        <f t="shared" si="13"/>
        <v>4738768</v>
      </c>
      <c r="K51" s="66">
        <f>L51/H51</f>
        <v>0.28921978064385762</v>
      </c>
      <c r="L51" s="70">
        <f>SUM(L52:L55)</f>
        <v>24230053</v>
      </c>
      <c r="M51" s="70">
        <f>SUM(M52:M55)</f>
        <v>59547249.320260897</v>
      </c>
      <c r="N51" s="68">
        <f t="shared" si="11"/>
        <v>0.71078021935614244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11"/>
      <c r="E52" s="22"/>
      <c r="F52" s="34"/>
      <c r="G52" s="61"/>
      <c r="H52" s="20">
        <f>C52-D52+E52+F52-G52</f>
        <v>13146617.570005897</v>
      </c>
      <c r="I52" s="21">
        <f>ABRIL!I52+ABRIL!J52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11"/>
      <c r="E53" s="22"/>
      <c r="F53" s="34"/>
      <c r="G53" s="61"/>
      <c r="H53" s="20">
        <f>C53-D53+E53+F53-G53</f>
        <v>43392204</v>
      </c>
      <c r="I53" s="21">
        <f>ABRIL!I53+ABRIL!J53</f>
        <v>14254973</v>
      </c>
      <c r="J53" s="41">
        <f>'LIBRO DE PRESUPUESTO'!J531</f>
        <v>3561692</v>
      </c>
      <c r="K53" s="15">
        <f t="shared" si="14"/>
        <v>0.41059599092961491</v>
      </c>
      <c r="L53" s="23">
        <f>J53+I53</f>
        <v>17816665</v>
      </c>
      <c r="M53" s="24">
        <f t="shared" si="3"/>
        <v>25575539</v>
      </c>
      <c r="N53" s="17">
        <f t="shared" si="11"/>
        <v>0.58940400907038504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11"/>
      <c r="E54" s="22"/>
      <c r="F54" s="34"/>
      <c r="G54" s="61"/>
      <c r="H54" s="20">
        <f>C54-D54+E54+F54-G54</f>
        <v>21030768.590477761</v>
      </c>
      <c r="I54" s="21">
        <f>ABRIL!I54+ABRIL!J54</f>
        <v>5236312</v>
      </c>
      <c r="J54" s="41">
        <f>'LIBRO DE PRESUPUESTO'!J546</f>
        <v>1177076</v>
      </c>
      <c r="K54" s="15">
        <f t="shared" si="14"/>
        <v>0.30495262084257974</v>
      </c>
      <c r="L54" s="23">
        <f>J54+I54</f>
        <v>6413388</v>
      </c>
      <c r="M54" s="24">
        <f t="shared" si="3"/>
        <v>14617380.590477761</v>
      </c>
      <c r="N54" s="17">
        <f t="shared" si="11"/>
        <v>0.69504737915742021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12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32056332</v>
      </c>
      <c r="J56" s="65">
        <f t="shared" si="15"/>
        <v>7994256</v>
      </c>
      <c r="K56" s="66">
        <f>L56/H56</f>
        <v>0.31431302587603444</v>
      </c>
      <c r="L56" s="67">
        <f>SUM(L57:L66)</f>
        <v>40050588</v>
      </c>
      <c r="M56" s="72">
        <f>SUM(M57:M66)</f>
        <v>87372028</v>
      </c>
      <c r="N56" s="68">
        <f t="shared" si="11"/>
        <v>0.68568697412396551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11"/>
      <c r="E57" s="22"/>
      <c r="F57" s="34"/>
      <c r="G57" s="61"/>
      <c r="H57" s="20">
        <f t="shared" ref="H57:H69" si="16">C57-D57+E57+F57-G57</f>
        <v>38584317</v>
      </c>
      <c r="I57" s="21">
        <f>ABRIL!I57+ABRIL!J57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11"/>
      <c r="E58" s="22"/>
      <c r="F58" s="34"/>
      <c r="G58" s="61"/>
      <c r="H58" s="20">
        <f t="shared" si="16"/>
        <v>0</v>
      </c>
      <c r="I58" s="21">
        <f>ABRIL!I58+ABRIL!J58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11"/>
      <c r="E59" s="22"/>
      <c r="F59" s="34"/>
      <c r="G59" s="61"/>
      <c r="H59" s="20">
        <f t="shared" si="16"/>
        <v>2664792</v>
      </c>
      <c r="I59" s="21">
        <f>ABRIL!I59+ABRIL!J59</f>
        <v>1137500</v>
      </c>
      <c r="J59" s="41">
        <f>'LIBRO DE PRESUPUESTO'!J589</f>
        <v>284300</v>
      </c>
      <c r="K59" s="15">
        <f t="shared" si="14"/>
        <v>0.53355008571025431</v>
      </c>
      <c r="L59" s="23">
        <f t="shared" si="17"/>
        <v>1421800</v>
      </c>
      <c r="M59" s="24">
        <f t="shared" si="3"/>
        <v>1242992</v>
      </c>
      <c r="N59" s="17">
        <f t="shared" ref="N59:N65" si="18">M59/H59</f>
        <v>0.46644991428974569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11"/>
      <c r="E60" s="22"/>
      <c r="F60" s="34"/>
      <c r="G60" s="61"/>
      <c r="H60" s="20">
        <f t="shared" si="16"/>
        <v>40228819</v>
      </c>
      <c r="I60" s="21">
        <f>ABRIL!I60+ABRIL!J60</f>
        <v>14999191</v>
      </c>
      <c r="J60" s="37">
        <f>'LIBRO DE PRESUPUESTO'!J605</f>
        <v>3882956</v>
      </c>
      <c r="K60" s="15">
        <f t="shared" si="14"/>
        <v>0.46936866329583277</v>
      </c>
      <c r="L60" s="23">
        <f t="shared" si="17"/>
        <v>18882147</v>
      </c>
      <c r="M60" s="24">
        <f t="shared" si="3"/>
        <v>21346672</v>
      </c>
      <c r="N60" s="17">
        <f t="shared" si="18"/>
        <v>0.53063133670416718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11"/>
      <c r="E61" s="22"/>
      <c r="F61" s="34"/>
      <c r="G61" s="61"/>
      <c r="H61" s="20">
        <f t="shared" si="16"/>
        <v>20419860</v>
      </c>
      <c r="I61" s="21">
        <f>ABRIL!I61+ABRIL!J61</f>
        <v>6677500</v>
      </c>
      <c r="J61" s="41">
        <f>'LIBRO DE PRESUPUESTO'!J621</f>
        <v>1676400</v>
      </c>
      <c r="K61" s="15">
        <f t="shared" si="14"/>
        <v>0.40910662462916003</v>
      </c>
      <c r="L61" s="23">
        <f t="shared" si="17"/>
        <v>8353900</v>
      </c>
      <c r="M61" s="24">
        <f t="shared" si="3"/>
        <v>12065960</v>
      </c>
      <c r="N61" s="17">
        <f t="shared" si="18"/>
        <v>0.59089337537083997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11"/>
      <c r="E62" s="22"/>
      <c r="F62" s="34"/>
      <c r="G62" s="61"/>
      <c r="H62" s="20">
        <f t="shared" si="16"/>
        <v>15314892</v>
      </c>
      <c r="I62" s="21">
        <f>ABRIL!I62+ABRIL!J62</f>
        <v>5008700</v>
      </c>
      <c r="J62" s="41">
        <f>'LIBRO DE PRESUPUESTO'!J637</f>
        <v>1289500</v>
      </c>
      <c r="K62" s="15">
        <f t="shared" si="14"/>
        <v>0.41124677862566711</v>
      </c>
      <c r="L62" s="23">
        <f t="shared" si="17"/>
        <v>6298200</v>
      </c>
      <c r="M62" s="24">
        <f t="shared" si="3"/>
        <v>9016692</v>
      </c>
      <c r="N62" s="17">
        <f t="shared" si="18"/>
        <v>0.58875322137433295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11"/>
      <c r="E63" s="22"/>
      <c r="F63" s="34"/>
      <c r="G63" s="61"/>
      <c r="H63" s="20">
        <f t="shared" si="16"/>
        <v>2552484</v>
      </c>
      <c r="I63" s="21">
        <f>ABRIL!I63+ABRIL!J63</f>
        <v>836600</v>
      </c>
      <c r="J63" s="41">
        <f>'LIBRO DE PRESUPUESTO'!J653</f>
        <v>215400</v>
      </c>
      <c r="K63" s="15">
        <f t="shared" si="14"/>
        <v>0.41214753941650567</v>
      </c>
      <c r="L63" s="23">
        <f t="shared" si="17"/>
        <v>1052000</v>
      </c>
      <c r="M63" s="24">
        <f t="shared" si="3"/>
        <v>1500484</v>
      </c>
      <c r="N63" s="17">
        <f t="shared" si="18"/>
        <v>0.58785246058349439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11"/>
      <c r="E64" s="22"/>
      <c r="F64" s="34"/>
      <c r="G64" s="61"/>
      <c r="H64" s="20">
        <f t="shared" si="16"/>
        <v>2552484</v>
      </c>
      <c r="I64" s="21">
        <f>ABRIL!I64+ABRIL!J64</f>
        <v>836600</v>
      </c>
      <c r="J64" s="41">
        <f>'LIBRO DE PRESUPUESTO'!J668</f>
        <v>215400</v>
      </c>
      <c r="K64" s="15">
        <f t="shared" si="14"/>
        <v>0.41214753941650567</v>
      </c>
      <c r="L64" s="23">
        <f t="shared" si="17"/>
        <v>1052000</v>
      </c>
      <c r="M64" s="24">
        <f t="shared" si="3"/>
        <v>1500484</v>
      </c>
      <c r="N64" s="17">
        <f t="shared" si="18"/>
        <v>0.58785246058349439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11"/>
      <c r="E65" s="22"/>
      <c r="F65" s="34"/>
      <c r="G65" s="61"/>
      <c r="H65" s="20">
        <f t="shared" si="16"/>
        <v>5104968</v>
      </c>
      <c r="I65" s="21">
        <f>ABRIL!I65+ABRIL!J65</f>
        <v>1671100</v>
      </c>
      <c r="J65" s="41">
        <f>'LIBRO DE PRESUPUESTO'!J688</f>
        <v>430300</v>
      </c>
      <c r="K65" s="15">
        <f t="shared" si="14"/>
        <v>0.41163823162064878</v>
      </c>
      <c r="L65" s="23">
        <f t="shared" si="17"/>
        <v>2101400</v>
      </c>
      <c r="M65" s="24">
        <f t="shared" si="3"/>
        <v>3003568</v>
      </c>
      <c r="N65" s="17">
        <f t="shared" si="18"/>
        <v>0.58836176837935128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ABRIL!I66+ABRIL!J66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333349072</v>
      </c>
      <c r="J70" s="83">
        <f t="shared" si="19"/>
        <v>80380118</v>
      </c>
      <c r="K70" s="84">
        <f>L70/H70</f>
        <v>0.34051188007683653</v>
      </c>
      <c r="L70" s="83">
        <f>L8+L20+L25+L31+L49+L51+L56+L67</f>
        <v>413729190</v>
      </c>
      <c r="M70" s="83">
        <f>M8+M20+M25+M31+M51+M49+M56+M67</f>
        <v>801292118.23348057</v>
      </c>
      <c r="N70" s="85">
        <f>M70/H70</f>
        <v>0.65948811992316336</v>
      </c>
    </row>
    <row r="71" spans="1:16" ht="35.25" customHeight="1" thickBot="1" x14ac:dyDescent="0.3">
      <c r="A71" s="81" t="s">
        <v>114</v>
      </c>
      <c r="B71" s="444" t="s">
        <v>115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11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230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128528338</v>
      </c>
      <c r="J8" s="65">
        <f>SUM(J9:J19)</f>
        <v>42946029</v>
      </c>
      <c r="K8" s="66">
        <f>L8/H8</f>
        <v>0.25979347446644396</v>
      </c>
      <c r="L8" s="67">
        <f>I8+J8</f>
        <v>171474367</v>
      </c>
      <c r="M8" s="65">
        <f>SUM(M9:M19)</f>
        <v>488566718.91321969</v>
      </c>
      <c r="N8" s="68">
        <f>M8/H8</f>
        <v>0.74020652553355593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MARZO!I9+MARZO!J9</f>
        <v>119735536</v>
      </c>
      <c r="J9" s="41">
        <f>'LIBRO DE PRESUPUESTO'!J11</f>
        <v>41895206</v>
      </c>
      <c r="K9" s="15">
        <f>L9/H9</f>
        <v>0.31765465931893466</v>
      </c>
      <c r="L9" s="23">
        <f t="shared" ref="L9:L15" si="1">J9+I9</f>
        <v>161630742</v>
      </c>
      <c r="M9" s="24">
        <f>H9-L9</f>
        <v>347194604.20000005</v>
      </c>
      <c r="N9" s="17">
        <f>M9/H9</f>
        <v>0.68234534068106534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MARZO!I10+MARZO!J10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MARZO!I11+MARZO!J11</f>
        <v>235229</v>
      </c>
      <c r="J11" s="21">
        <f>'LIBRO DE PRESUPUESTO'!J34</f>
        <v>88211</v>
      </c>
      <c r="K11" s="15">
        <f>L11/H11</f>
        <v>0.30017789419601626</v>
      </c>
      <c r="L11" s="23">
        <f t="shared" si="1"/>
        <v>323440</v>
      </c>
      <c r="M11" s="24">
        <f t="shared" si="3"/>
        <v>754054.39999999991</v>
      </c>
      <c r="N11" s="17">
        <f>M11/H11</f>
        <v>0.69982210580398374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2"/>
        <v>1484049.6</v>
      </c>
      <c r="I12" s="21">
        <f>MARZO!I12+MARZO!J12</f>
        <v>308872</v>
      </c>
      <c r="J12" s="21">
        <f>'LIBRO DE PRESUPUESTO'!J50</f>
        <v>120340</v>
      </c>
      <c r="K12" s="15">
        <f t="shared" ref="K12:K48" si="4">L12/H12</f>
        <v>0.28921674855072227</v>
      </c>
      <c r="L12" s="23">
        <f t="shared" si="1"/>
        <v>429212</v>
      </c>
      <c r="M12" s="24">
        <f t="shared" si="3"/>
        <v>1054837.6000000001</v>
      </c>
      <c r="N12" s="17">
        <f>M12/H12</f>
        <v>0.71078325144927768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MARZO!I13+MARZO!J13</f>
        <v>2705473</v>
      </c>
      <c r="J13" s="41">
        <f>'LIBRO DE PRESUPUESTO'!J68</f>
        <v>842272</v>
      </c>
      <c r="K13" s="15">
        <f t="shared" si="4"/>
        <v>0.23593843535533957</v>
      </c>
      <c r="L13" s="23">
        <f t="shared" si="1"/>
        <v>3547745</v>
      </c>
      <c r="M13" s="24">
        <f t="shared" si="3"/>
        <v>11488995.388045937</v>
      </c>
      <c r="N13" s="17">
        <f>M13/H13</f>
        <v>0.76406156464466046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MARZO!I14+MARZO!J14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MARZO!I15+MARZO!J15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/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MARZO!I16+MARZO!J16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/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MARZO!I17+MARZO!J17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MARZO!I19+MARZO!J19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MARZO!I20+MARZO!J20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MARZO!I20+MARZO!J20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MARZO!I21+MARZO!J21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15994800</v>
      </c>
      <c r="J25" s="65">
        <f t="shared" si="7"/>
        <v>900600</v>
      </c>
      <c r="K25" s="66">
        <f>L25/H25</f>
        <v>0.43100510204081632</v>
      </c>
      <c r="L25" s="72">
        <f t="shared" si="5"/>
        <v>16895400</v>
      </c>
      <c r="M25" s="65">
        <f>SUM(M26:M30)</f>
        <v>22304600</v>
      </c>
      <c r="N25" s="68">
        <f>M25/H25</f>
        <v>0.56899489795918368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MARZO!I23+MARZO!J23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MARZO!I24+MARZO!J24</f>
        <v>15994800</v>
      </c>
      <c r="J28" s="21">
        <f>'LIBRO DE PRESUPUESTO'!J167</f>
        <v>900600</v>
      </c>
      <c r="K28" s="15">
        <f t="shared" si="4"/>
        <v>0.52798124999999996</v>
      </c>
      <c r="L28" s="23">
        <f t="shared" si="5"/>
        <v>16895400</v>
      </c>
      <c r="M28" s="24">
        <f t="shared" si="3"/>
        <v>15104600</v>
      </c>
      <c r="N28" s="33">
        <f>M28/H28</f>
        <v>0.47201874999999999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MARZO!I25+MARZO!J25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MARZO!I26+MARZO!J26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52402700</v>
      </c>
      <c r="J31" s="65">
        <f t="shared" si="8"/>
        <v>6196888</v>
      </c>
      <c r="K31" s="66">
        <f>L31/H31</f>
        <v>0.29583753062091422</v>
      </c>
      <c r="L31" s="67">
        <f>I31+J31</f>
        <v>58599588</v>
      </c>
      <c r="M31" s="72">
        <f>SUM(M32:M48)</f>
        <v>139480716</v>
      </c>
      <c r="N31" s="68">
        <f>M31/H31</f>
        <v>0.70416246937908578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MARZO!I28+MARZO!J28</f>
        <v>16130000</v>
      </c>
      <c r="J32" s="21">
        <f>'LIBRO DE PRESUPUESTO'!J195-1085000</f>
        <v>50000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v>0</v>
      </c>
      <c r="J33" s="21">
        <v>1085000</v>
      </c>
      <c r="K33" s="15">
        <f t="shared" si="4"/>
        <v>7.2333333333333333E-2</v>
      </c>
      <c r="L33" s="23">
        <f t="shared" si="10"/>
        <v>1085000</v>
      </c>
      <c r="M33" s="24">
        <f t="shared" si="3"/>
        <v>13915000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MARZO!I29+MARZO!J29</f>
        <v>24172668</v>
      </c>
      <c r="J34" s="21">
        <f>SUM('LIBRO DE PRESUPUESTO'!J234:J241)</f>
        <v>3373500</v>
      </c>
      <c r="K34" s="15">
        <f t="shared" si="4"/>
        <v>0.70095012693669823</v>
      </c>
      <c r="L34" s="23">
        <f t="shared" si="10"/>
        <v>27546168</v>
      </c>
      <c r="M34" s="24">
        <f t="shared" si="3"/>
        <v>11752160</v>
      </c>
      <c r="N34" s="33">
        <f>M34/H34</f>
        <v>0.29904987306330183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v>0</v>
      </c>
      <c r="J35" s="21">
        <v>0</v>
      </c>
      <c r="K35" s="15">
        <f t="shared" si="4"/>
        <v>0</v>
      </c>
      <c r="L35" s="23">
        <f t="shared" si="10"/>
        <v>0</v>
      </c>
      <c r="M35" s="24">
        <f t="shared" si="3"/>
        <v>50000000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MARZO!I30+MARZO!J30</f>
        <v>200000</v>
      </c>
      <c r="J36" s="41">
        <f>'LIBRO DE PRESUPUESTO'!J343</f>
        <v>167000</v>
      </c>
      <c r="K36" s="15">
        <f t="shared" si="4"/>
        <v>0.30583333333333335</v>
      </c>
      <c r="L36" s="23">
        <f t="shared" si="10"/>
        <v>367000</v>
      </c>
      <c r="M36" s="24">
        <f t="shared" si="3"/>
        <v>833000</v>
      </c>
      <c r="N36" s="33">
        <f>M36/H36</f>
        <v>0.69416666666666671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MARZO!I31+MARZO!J31</f>
        <v>2333700</v>
      </c>
      <c r="J37" s="41">
        <f>'LIBRO DE PRESUPUESTO'!J365</f>
        <v>808700</v>
      </c>
      <c r="K37" s="15">
        <f t="shared" si="4"/>
        <v>0.29096296296296298</v>
      </c>
      <c r="L37" s="23">
        <f t="shared" si="10"/>
        <v>3142400</v>
      </c>
      <c r="M37" s="24">
        <f t="shared" si="3"/>
        <v>7657600</v>
      </c>
      <c r="N37" s="17">
        <f>M37/H37</f>
        <v>0.70903703703703702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MARZO!I32+MARZO!J32</f>
        <v>1412450</v>
      </c>
      <c r="J38" s="41">
        <f>SUM('LIBRO DE PRESUPUESTO'!J386:J388)</f>
        <v>580398</v>
      </c>
      <c r="K38" s="15">
        <f t="shared" si="4"/>
        <v>0.30194666666666664</v>
      </c>
      <c r="L38" s="23">
        <f t="shared" si="10"/>
        <v>1992848</v>
      </c>
      <c r="M38" s="24">
        <f t="shared" si="3"/>
        <v>4607152</v>
      </c>
      <c r="N38" s="17">
        <f>M38/H38</f>
        <v>0.6980533333333333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MARZO!I33+MARZO!J33</f>
        <v>367630</v>
      </c>
      <c r="J39" s="25">
        <f>'LIBRO DE PRESUPUESTO'!J421+'LIBRO DE PRESUPUESTO'!J422</f>
        <v>132290</v>
      </c>
      <c r="K39" s="15">
        <f t="shared" si="4"/>
        <v>0.26037500000000002</v>
      </c>
      <c r="L39" s="23">
        <f t="shared" si="10"/>
        <v>499920</v>
      </c>
      <c r="M39" s="24">
        <f t="shared" si="3"/>
        <v>1420080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MARZO!I34+MARZO!J34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MARZO!I35+MARZO!J35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9"/>
        <v>8631976</v>
      </c>
      <c r="I42" s="21">
        <f>MARZO!I36+MARZO!J36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MARZO!I37+MARZO!J37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MARZO!I38+MARZO!J38</f>
        <v>0</v>
      </c>
      <c r="J44" s="43">
        <v>0</v>
      </c>
      <c r="K44" s="15">
        <f t="shared" si="4"/>
        <v>0</v>
      </c>
      <c r="L44" s="23">
        <f t="shared" si="10"/>
        <v>0</v>
      </c>
      <c r="M44" s="24">
        <f t="shared" si="3"/>
        <v>3000000</v>
      </c>
      <c r="N44" s="17">
        <f>M44/H44</f>
        <v>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MARZO!I39+MARZO!J39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MARZO!I40+MARZO!J40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MARZO!I41+MARZO!J41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MARZO!I42+MARZO!J42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296">
        <f t="shared" ref="C49:J49" si="12">C50</f>
        <v>0</v>
      </c>
      <c r="D49" s="296">
        <f t="shared" si="12"/>
        <v>0</v>
      </c>
      <c r="E49" s="296">
        <f t="shared" si="12"/>
        <v>0</v>
      </c>
      <c r="F49" s="296">
        <f t="shared" si="12"/>
        <v>1000000</v>
      </c>
      <c r="G49" s="296">
        <f t="shared" si="12"/>
        <v>0</v>
      </c>
      <c r="H49" s="296">
        <f t="shared" si="12"/>
        <v>1000000</v>
      </c>
      <c r="I49" s="297">
        <f t="shared" si="12"/>
        <v>0</v>
      </c>
      <c r="J49" s="309">
        <f t="shared" si="12"/>
        <v>0</v>
      </c>
      <c r="K49" s="298">
        <v>0</v>
      </c>
      <c r="L49" s="63">
        <f t="shared" si="10"/>
        <v>0</v>
      </c>
      <c r="M49" s="299">
        <f>M50</f>
        <v>1000000</v>
      </c>
      <c r="N49" s="310">
        <f t="shared" si="11"/>
        <v>1</v>
      </c>
    </row>
    <row r="50" spans="1:16" ht="15" x14ac:dyDescent="0.25">
      <c r="A50" s="96">
        <v>2020120301</v>
      </c>
      <c r="B50" s="31" t="s">
        <v>191</v>
      </c>
      <c r="C50" s="295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v>0</v>
      </c>
      <c r="K50" s="15"/>
      <c r="L50" s="23">
        <f t="shared" si="10"/>
        <v>0</v>
      </c>
      <c r="M50" s="24">
        <f t="shared" si="3"/>
        <v>1000000</v>
      </c>
      <c r="N50" s="17">
        <f t="shared" si="11"/>
        <v>1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14752517</v>
      </c>
      <c r="J51" s="70">
        <f t="shared" si="13"/>
        <v>4738768</v>
      </c>
      <c r="K51" s="66">
        <f>L51/H51</f>
        <v>0.23265591586476977</v>
      </c>
      <c r="L51" s="70">
        <f>SUM(L52:L55)</f>
        <v>19491285</v>
      </c>
      <c r="M51" s="70">
        <f>SUM(M52:M55)</f>
        <v>64286017.320260897</v>
      </c>
      <c r="N51" s="68">
        <f t="shared" si="11"/>
        <v>0.76734408413523025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11"/>
      <c r="E52" s="22"/>
      <c r="F52" s="34"/>
      <c r="G52" s="61"/>
      <c r="H52" s="20">
        <f>C52-D52+E52+F52-G52</f>
        <v>13146617.570005897</v>
      </c>
      <c r="I52" s="21">
        <f>MARZO!I46+MARZO!J46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11"/>
      <c r="E53" s="22"/>
      <c r="F53" s="34"/>
      <c r="G53" s="61"/>
      <c r="H53" s="20">
        <f>C53-D53+E53+F53-G53</f>
        <v>43392204</v>
      </c>
      <c r="I53" s="21">
        <f>MARZO!I47+MARZO!J47</f>
        <v>10693281</v>
      </c>
      <c r="J53" s="41">
        <f>'LIBRO DE PRESUPUESTO'!J530</f>
        <v>3561692</v>
      </c>
      <c r="K53" s="15">
        <f t="shared" si="14"/>
        <v>0.32851461059687126</v>
      </c>
      <c r="L53" s="23">
        <f>J53+I53</f>
        <v>14254973</v>
      </c>
      <c r="M53" s="24">
        <f t="shared" si="3"/>
        <v>29137231</v>
      </c>
      <c r="N53" s="17">
        <f t="shared" si="11"/>
        <v>0.67148538940312874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11"/>
      <c r="E54" s="22"/>
      <c r="F54" s="34"/>
      <c r="G54" s="61"/>
      <c r="H54" s="20">
        <f>C54-D54+E54+F54-G54</f>
        <v>21030768.590477761</v>
      </c>
      <c r="I54" s="21">
        <f>MARZO!I48+MARZO!J48</f>
        <v>4059236</v>
      </c>
      <c r="J54" s="41">
        <f>'LIBRO DE PRESUPUESTO'!J545</f>
        <v>1177076</v>
      </c>
      <c r="K54" s="15">
        <f t="shared" si="14"/>
        <v>0.24898338724391078</v>
      </c>
      <c r="L54" s="23">
        <f>J54+I54</f>
        <v>5236312</v>
      </c>
      <c r="M54" s="24">
        <f t="shared" si="3"/>
        <v>15794456.590477761</v>
      </c>
      <c r="N54" s="17">
        <f t="shared" si="11"/>
        <v>0.75101661275608922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12"/>
      <c r="E55" s="22"/>
      <c r="F55" s="34"/>
      <c r="G55" s="44"/>
      <c r="H55" s="20">
        <f>C55-D55+E55+F55-G55</f>
        <v>6207712.159777239</v>
      </c>
      <c r="I55" s="21">
        <f>MARZO!I49+MARZO!J49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24920676</v>
      </c>
      <c r="J56" s="65">
        <f t="shared" si="15"/>
        <v>7135656</v>
      </c>
      <c r="K56" s="66">
        <f>L56/H56</f>
        <v>0.25157490095792728</v>
      </c>
      <c r="L56" s="67">
        <f>SUM(L57:L66)</f>
        <v>32056332</v>
      </c>
      <c r="M56" s="72">
        <f>SUM(M57:M66)</f>
        <v>95366284</v>
      </c>
      <c r="N56" s="68">
        <f t="shared" si="11"/>
        <v>0.74842509904207277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11"/>
      <c r="E57" s="22"/>
      <c r="F57" s="34"/>
      <c r="G57" s="61"/>
      <c r="H57" s="20">
        <f t="shared" ref="H57:H69" si="16">C57-D57+E57+F57-G57</f>
        <v>38584317</v>
      </c>
      <c r="I57" s="21">
        <f>MARZO!I51+MARZO!J51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11"/>
      <c r="E58" s="22"/>
      <c r="F58" s="34"/>
      <c r="G58" s="61"/>
      <c r="H58" s="20">
        <f t="shared" si="16"/>
        <v>0</v>
      </c>
      <c r="I58" s="21">
        <f>MARZO!I52+MARZO!J52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11"/>
      <c r="E59" s="22"/>
      <c r="F59" s="34"/>
      <c r="G59" s="61"/>
      <c r="H59" s="20">
        <f t="shared" si="16"/>
        <v>2664792</v>
      </c>
      <c r="I59" s="21">
        <f>MARZO!I53+MARZO!J53</f>
        <v>853200</v>
      </c>
      <c r="J59" s="41">
        <f>'LIBRO DE PRESUPUESTO'!J588</f>
        <v>284300</v>
      </c>
      <c r="K59" s="15">
        <f t="shared" si="14"/>
        <v>0.42686258439683095</v>
      </c>
      <c r="L59" s="23">
        <f t="shared" si="17"/>
        <v>1137500</v>
      </c>
      <c r="M59" s="24">
        <f t="shared" si="3"/>
        <v>1527292</v>
      </c>
      <c r="N59" s="17">
        <f t="shared" ref="N59:N65" si="18">M59/H59</f>
        <v>0.573137415603169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11"/>
      <c r="E60" s="22"/>
      <c r="F60" s="34"/>
      <c r="G60" s="61"/>
      <c r="H60" s="20">
        <f t="shared" si="16"/>
        <v>40228819</v>
      </c>
      <c r="I60" s="21">
        <f>MARZO!I54+MARZO!J54</f>
        <v>11116235</v>
      </c>
      <c r="J60" s="37">
        <f>'LIBRO DE PRESUPUESTO'!J604</f>
        <v>3882956</v>
      </c>
      <c r="K60" s="15">
        <f t="shared" si="14"/>
        <v>0.37284691355219751</v>
      </c>
      <c r="L60" s="23">
        <f t="shared" si="17"/>
        <v>14999191</v>
      </c>
      <c r="M60" s="24">
        <f t="shared" si="3"/>
        <v>25229628</v>
      </c>
      <c r="N60" s="17">
        <f t="shared" si="18"/>
        <v>0.62715308644780254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11"/>
      <c r="E61" s="22"/>
      <c r="F61" s="34"/>
      <c r="G61" s="61"/>
      <c r="H61" s="20">
        <f t="shared" si="16"/>
        <v>20419860</v>
      </c>
      <c r="I61" s="21">
        <f>MARZO!I55+MARZO!J55</f>
        <v>5358900</v>
      </c>
      <c r="J61" s="41">
        <f>'LIBRO DE PRESUPUESTO'!J620</f>
        <v>1318600</v>
      </c>
      <c r="K61" s="15">
        <f t="shared" si="14"/>
        <v>0.32701007744421362</v>
      </c>
      <c r="L61" s="23">
        <f t="shared" si="17"/>
        <v>6677500</v>
      </c>
      <c r="M61" s="24">
        <f t="shared" si="3"/>
        <v>13742360</v>
      </c>
      <c r="N61" s="17">
        <f t="shared" si="18"/>
        <v>0.67298992255578638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11"/>
      <c r="E62" s="22"/>
      <c r="F62" s="34"/>
      <c r="G62" s="61"/>
      <c r="H62" s="20">
        <f t="shared" si="16"/>
        <v>15314892</v>
      </c>
      <c r="I62" s="21">
        <f>MARZO!I56+MARZO!J56</f>
        <v>4019600</v>
      </c>
      <c r="J62" s="41">
        <f>'LIBRO DE PRESUPUESTO'!J636</f>
        <v>989100</v>
      </c>
      <c r="K62" s="15">
        <f t="shared" si="14"/>
        <v>0.32704768665688272</v>
      </c>
      <c r="L62" s="23">
        <f t="shared" si="17"/>
        <v>5008700</v>
      </c>
      <c r="M62" s="24">
        <f t="shared" si="3"/>
        <v>10306192</v>
      </c>
      <c r="N62" s="17">
        <f t="shared" si="18"/>
        <v>0.67295231334311723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11"/>
      <c r="E63" s="22"/>
      <c r="F63" s="34"/>
      <c r="G63" s="61"/>
      <c r="H63" s="20">
        <f t="shared" si="16"/>
        <v>2552484</v>
      </c>
      <c r="I63" s="21">
        <f>MARZO!I57+MARZO!J57</f>
        <v>671300</v>
      </c>
      <c r="J63" s="41">
        <f>'LIBRO DE PRESUPUESTO'!J652</f>
        <v>165300</v>
      </c>
      <c r="K63" s="15">
        <f t="shared" si="14"/>
        <v>0.32775915539529338</v>
      </c>
      <c r="L63" s="23">
        <f t="shared" si="17"/>
        <v>836600</v>
      </c>
      <c r="M63" s="24">
        <f t="shared" si="3"/>
        <v>1715884</v>
      </c>
      <c r="N63" s="17">
        <f t="shared" si="18"/>
        <v>0.67224084460470668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11"/>
      <c r="E64" s="22"/>
      <c r="F64" s="34"/>
      <c r="G64" s="61"/>
      <c r="H64" s="20">
        <f t="shared" si="16"/>
        <v>2552484</v>
      </c>
      <c r="I64" s="21">
        <f>MARZO!I58+MARZO!J58</f>
        <v>671300</v>
      </c>
      <c r="J64" s="41">
        <f>'LIBRO DE PRESUPUESTO'!J667</f>
        <v>165300</v>
      </c>
      <c r="K64" s="15">
        <f t="shared" si="14"/>
        <v>0.32775915539529338</v>
      </c>
      <c r="L64" s="23">
        <f t="shared" si="17"/>
        <v>836600</v>
      </c>
      <c r="M64" s="24">
        <f t="shared" si="3"/>
        <v>1715884</v>
      </c>
      <c r="N64" s="17">
        <f t="shared" si="18"/>
        <v>0.67224084460470668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11"/>
      <c r="E65" s="22"/>
      <c r="F65" s="34"/>
      <c r="G65" s="61"/>
      <c r="H65" s="20">
        <f t="shared" si="16"/>
        <v>5104968</v>
      </c>
      <c r="I65" s="21">
        <f>MARZO!I59+MARZO!J59</f>
        <v>1341000</v>
      </c>
      <c r="J65" s="41">
        <f>'LIBRO DE PRESUPUESTO'!J687</f>
        <v>330100</v>
      </c>
      <c r="K65" s="15">
        <f t="shared" si="14"/>
        <v>0.32734779140633202</v>
      </c>
      <c r="L65" s="23">
        <f t="shared" si="17"/>
        <v>1671100</v>
      </c>
      <c r="M65" s="24">
        <f t="shared" si="3"/>
        <v>3433868</v>
      </c>
      <c r="N65" s="17">
        <f t="shared" si="18"/>
        <v>0.67265220859366792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MARZO!I60+MARZO!J60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271431131</v>
      </c>
      <c r="J70" s="83">
        <f t="shared" si="19"/>
        <v>61917941</v>
      </c>
      <c r="K70" s="84">
        <f>L70/H70</f>
        <v>0.27435656456482738</v>
      </c>
      <c r="L70" s="83">
        <f>L8+L20+L25+L31+L49+L51+L56+L67</f>
        <v>333349072</v>
      </c>
      <c r="M70" s="83">
        <f>M8+M20+M25+M31+M51+M49+M56+M67</f>
        <v>881672236.23348057</v>
      </c>
      <c r="N70" s="85">
        <f>M70/H70</f>
        <v>0.72564343543517251</v>
      </c>
    </row>
    <row r="71" spans="1:16" ht="35.25" customHeight="1" thickBot="1" x14ac:dyDescent="0.3">
      <c r="A71" s="81" t="s">
        <v>114</v>
      </c>
      <c r="B71" s="444" t="s">
        <v>115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14" scale="4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8" x14ac:dyDescent="0.25">
      <c r="A3" s="441" t="s">
        <v>219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442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443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PRESUPUESTO'!J33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PRESUPUESTO'!J49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11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11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FEBRERO!I23+FEBRERO!J23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FEBRERO!I24+FEBRERO!J24</f>
        <v>15994800</v>
      </c>
      <c r="J24" s="21">
        <v>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FEBRERO!I25+FEBRERO!J25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FEBRERO!I26+FEBRERO!J26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631976</v>
      </c>
      <c r="G27" s="65">
        <f t="shared" si="10"/>
        <v>0</v>
      </c>
      <c r="H27" s="65">
        <f t="shared" si="10"/>
        <v>133080304</v>
      </c>
      <c r="I27" s="65">
        <f t="shared" si="10"/>
        <v>17531658</v>
      </c>
      <c r="J27" s="65">
        <f t="shared" si="10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1">C28-D28+E28+F28-G28</f>
        <v>16180000</v>
      </c>
      <c r="I28" s="21">
        <f>FEBRERO!I28+FEBRERO!J28</f>
        <v>1200000</v>
      </c>
      <c r="J28" s="21">
        <f>'LIBRO DE PRESUPUESTO'!J193</f>
        <v>14930000</v>
      </c>
      <c r="K28" s="20">
        <f t="shared" si="9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2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FEBRERO!I29+FEBRERO!J29</f>
        <v>13417168</v>
      </c>
      <c r="J29" s="21">
        <f>SUM('LIBRO DE PRESUPUESTO'!J226:J233)</f>
        <v>10755500</v>
      </c>
      <c r="K29" s="20">
        <f t="shared" si="9"/>
        <v>24172668</v>
      </c>
      <c r="L29" s="15">
        <f t="shared" si="1"/>
        <v>0.61510678011542885</v>
      </c>
      <c r="M29" s="23">
        <f>J29+I29</f>
        <v>24172668</v>
      </c>
      <c r="N29" s="24">
        <f t="shared" si="12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FEBRERO!I30+FEBRERO!J30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FEBRERO!I31+FEBRERO!J31</f>
        <v>1413600</v>
      </c>
      <c r="J31" s="41">
        <f>'LIBRO DE PRESUPUESTO'!J364</f>
        <v>920100</v>
      </c>
      <c r="K31" s="20">
        <f t="shared" si="9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2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FEBRERO!I32+FEBRERO!J32</f>
        <v>1065550</v>
      </c>
      <c r="J32" s="41">
        <f>SUM('LIBRO DE PRESUPUESTO'!J384:J385)</f>
        <v>346900</v>
      </c>
      <c r="K32" s="20">
        <f t="shared" si="9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2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FEBRERO!I33+FEBRERO!J33</f>
        <v>235340</v>
      </c>
      <c r="J33" s="25">
        <f>'LIBRO DE PRESUPUESTO'!J419+'LIBRO DE PRESUPUESTO'!J420</f>
        <v>132290</v>
      </c>
      <c r="K33" s="20">
        <f t="shared" si="9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2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FEBRERO!I34+FEBRERO!J34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FEBRERO!I35+FEBRERO!J35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PRESUPUESTO'!G456</f>
        <v>631976</v>
      </c>
      <c r="G36" s="61"/>
      <c r="H36" s="20">
        <f t="shared" si="11"/>
        <v>8631976</v>
      </c>
      <c r="I36" s="21">
        <f>FEBRERO!I36+FEBRERO!J36</f>
        <v>0</v>
      </c>
      <c r="J36" s="43">
        <f>'LIBRO DE PRESUPUESTO'!J455+'LIBRO DE PRESUPUESTO'!J457</f>
        <v>7786252</v>
      </c>
      <c r="K36" s="20">
        <f t="shared" si="9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2"/>
        <v>845724</v>
      </c>
      <c r="O36" s="17">
        <f t="shared" si="13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FEBRERO!I37+FEBRERO!J37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FEBRERO!I38+FEBRERO!J38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FEBRERO!I39+FEBRERO!J39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FEBRERO!I40+FEBRERO!J40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FEBRERO!I41+FEBRERO!J41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FEBRERO!I42+FEBRERO!J42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296">
        <f t="shared" ref="C43:J43" si="14">C44</f>
        <v>0</v>
      </c>
      <c r="D43" s="296">
        <f t="shared" si="14"/>
        <v>0</v>
      </c>
      <c r="E43" s="296">
        <f t="shared" si="14"/>
        <v>0</v>
      </c>
      <c r="F43" s="296">
        <f t="shared" si="14"/>
        <v>1000000</v>
      </c>
      <c r="G43" s="296">
        <f t="shared" si="14"/>
        <v>0</v>
      </c>
      <c r="H43" s="296">
        <f t="shared" si="14"/>
        <v>1000000</v>
      </c>
      <c r="I43" s="297">
        <f t="shared" si="14"/>
        <v>0</v>
      </c>
      <c r="J43" s="309">
        <f t="shared" si="14"/>
        <v>0</v>
      </c>
      <c r="K43" s="63">
        <f t="shared" si="9"/>
        <v>0</v>
      </c>
      <c r="L43" s="298">
        <v>0</v>
      </c>
      <c r="M43" s="63">
        <f t="shared" si="6"/>
        <v>0</v>
      </c>
      <c r="N43" s="299">
        <f>H43-K43</f>
        <v>1000000</v>
      </c>
      <c r="O43" s="310">
        <f t="shared" si="13"/>
        <v>1</v>
      </c>
    </row>
    <row r="44" spans="1:17" ht="15" x14ac:dyDescent="0.25">
      <c r="A44" s="96">
        <v>2020120301</v>
      </c>
      <c r="B44" s="31" t="s">
        <v>191</v>
      </c>
      <c r="C44" s="295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00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9437830</v>
      </c>
      <c r="J45" s="70">
        <f t="shared" si="15"/>
        <v>5314687</v>
      </c>
      <c r="K45" s="65">
        <f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>SUM(N46:N49)</f>
        <v>69024785.320260897</v>
      </c>
      <c r="O45" s="68">
        <f t="shared" si="13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11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11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PRESUPUESTO'!J529</f>
        <v>3987788</v>
      </c>
      <c r="K47" s="20">
        <f t="shared" si="9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3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11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PRESUPUESTO'!J544</f>
        <v>1326899</v>
      </c>
      <c r="K48" s="20">
        <f t="shared" si="9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3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12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15969879</v>
      </c>
      <c r="J50" s="65">
        <f t="shared" si="16"/>
        <v>8950797</v>
      </c>
      <c r="K50" s="65">
        <f t="shared" si="9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3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11"/>
      <c r="E51" s="22"/>
      <c r="F51" s="34"/>
      <c r="G51" s="61"/>
      <c r="H51" s="20">
        <f t="shared" ref="H51:H63" si="17">C51-D51+E51+F51-G51</f>
        <v>38584317</v>
      </c>
      <c r="I51" s="21">
        <f>FEBRERO!I51+FEBRERO!J51</f>
        <v>889141</v>
      </c>
      <c r="J51" s="25"/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11"/>
      <c r="E52" s="22"/>
      <c r="F52" s="34"/>
      <c r="G52" s="61"/>
      <c r="H52" s="20">
        <f t="shared" si="17"/>
        <v>0</v>
      </c>
      <c r="I52" s="21">
        <f>FEBRERO!I52+FEBRERO!J52</f>
        <v>0</v>
      </c>
      <c r="J52" s="21">
        <v>0</v>
      </c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11"/>
      <c r="E53" s="22"/>
      <c r="F53" s="34"/>
      <c r="G53" s="61"/>
      <c r="H53" s="20">
        <f t="shared" si="17"/>
        <v>2664792</v>
      </c>
      <c r="I53" s="21">
        <f>FEBRERO!I53+FEBRERO!J53</f>
        <v>534400</v>
      </c>
      <c r="J53" s="41">
        <f>'LIBRO DE PRESUPUESTO'!J587</f>
        <v>318800</v>
      </c>
      <c r="K53" s="20">
        <f t="shared" si="9"/>
        <v>853200</v>
      </c>
      <c r="L53" s="15">
        <f t="shared" si="1"/>
        <v>0.32017508308340764</v>
      </c>
      <c r="M53" s="23">
        <f t="shared" si="6"/>
        <v>853200</v>
      </c>
      <c r="N53" s="24">
        <f t="shared" si="18"/>
        <v>1811592</v>
      </c>
      <c r="O53" s="17">
        <f t="shared" si="13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11"/>
      <c r="E54" s="22"/>
      <c r="F54" s="34"/>
      <c r="G54" s="61"/>
      <c r="H54" s="20">
        <f t="shared" si="17"/>
        <v>40228819</v>
      </c>
      <c r="I54" s="21">
        <f>FEBRERO!I54+FEBRERO!J54</f>
        <v>6708438</v>
      </c>
      <c r="J54" s="37">
        <f>'LIBRO DE PRESUPUESTO'!J603</f>
        <v>4407797</v>
      </c>
      <c r="K54" s="20">
        <f t="shared" si="9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18"/>
        <v>29112584</v>
      </c>
      <c r="O54" s="17">
        <f t="shared" si="13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11"/>
      <c r="E55" s="22"/>
      <c r="F55" s="34"/>
      <c r="G55" s="61"/>
      <c r="H55" s="20">
        <f t="shared" si="17"/>
        <v>20419860</v>
      </c>
      <c r="I55" s="21">
        <f>FEBRERO!I55+FEBRERO!J55</f>
        <v>3482100</v>
      </c>
      <c r="J55" s="41">
        <f>'LIBRO DE PRESUPUESTO'!J619</f>
        <v>1876800</v>
      </c>
      <c r="K55" s="20">
        <f t="shared" si="9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18"/>
        <v>15060960</v>
      </c>
      <c r="O55" s="17">
        <f t="shared" si="13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11"/>
      <c r="E56" s="22"/>
      <c r="F56" s="34"/>
      <c r="G56" s="61"/>
      <c r="H56" s="20">
        <f t="shared" si="17"/>
        <v>15314892</v>
      </c>
      <c r="I56" s="21">
        <f>FEBRERO!I56+FEBRERO!J56</f>
        <v>2612000</v>
      </c>
      <c r="J56" s="41">
        <f>'LIBRO DE PRESUPUESTO'!J635</f>
        <v>1407600</v>
      </c>
      <c r="K56" s="20">
        <f t="shared" si="9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18"/>
        <v>11295292</v>
      </c>
      <c r="O56" s="17">
        <f t="shared" si="13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11"/>
      <c r="E57" s="22"/>
      <c r="F57" s="34"/>
      <c r="G57" s="61"/>
      <c r="H57" s="20">
        <f t="shared" si="17"/>
        <v>2552484</v>
      </c>
      <c r="I57" s="21">
        <f>FEBRERO!I57+FEBRERO!J57</f>
        <v>436200</v>
      </c>
      <c r="J57" s="41">
        <f>'LIBRO DE PRESUPUESTO'!J651</f>
        <v>235100</v>
      </c>
      <c r="K57" s="20">
        <f t="shared" si="9"/>
        <v>671300</v>
      </c>
      <c r="L57" s="15">
        <f t="shared" si="1"/>
        <v>0.26299871027595079</v>
      </c>
      <c r="M57" s="23">
        <f t="shared" si="6"/>
        <v>671300</v>
      </c>
      <c r="N57" s="24">
        <f t="shared" si="18"/>
        <v>1881184</v>
      </c>
      <c r="O57" s="17">
        <f t="shared" si="13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11"/>
      <c r="E58" s="22"/>
      <c r="F58" s="34"/>
      <c r="G58" s="61"/>
      <c r="H58" s="20">
        <f t="shared" si="17"/>
        <v>2552484</v>
      </c>
      <c r="I58" s="21">
        <f>FEBRERO!I58+FEBRERO!J58</f>
        <v>436200</v>
      </c>
      <c r="J58" s="41">
        <f>'LIBRO DE PRESUPUESTO'!J666</f>
        <v>235100</v>
      </c>
      <c r="K58" s="20">
        <f t="shared" si="9"/>
        <v>671300</v>
      </c>
      <c r="L58" s="15">
        <f t="shared" si="1"/>
        <v>0.26299871027595079</v>
      </c>
      <c r="M58" s="23">
        <f t="shared" si="6"/>
        <v>671300</v>
      </c>
      <c r="N58" s="24">
        <f t="shared" si="18"/>
        <v>1881184</v>
      </c>
      <c r="O58" s="17">
        <f t="shared" si="13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11"/>
      <c r="E59" s="22"/>
      <c r="F59" s="34"/>
      <c r="G59" s="61"/>
      <c r="H59" s="20">
        <f t="shared" si="17"/>
        <v>5104968</v>
      </c>
      <c r="I59" s="21">
        <f>FEBRERO!I59+FEBRERO!J59</f>
        <v>871400</v>
      </c>
      <c r="J59" s="41">
        <f>'LIBRO DE PRESUPUESTO'!J686</f>
        <v>469600</v>
      </c>
      <c r="K59" s="20">
        <f t="shared" si="9"/>
        <v>1341000</v>
      </c>
      <c r="L59" s="15">
        <f t="shared" si="1"/>
        <v>0.26268529009388503</v>
      </c>
      <c r="M59" s="23">
        <f>J59+I59</f>
        <v>1341000</v>
      </c>
      <c r="N59" s="24">
        <f t="shared" si="18"/>
        <v>3763968</v>
      </c>
      <c r="O59" s="17">
        <f t="shared" si="13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FEBRERO!I60+FEBRERO!J60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29281983</v>
      </c>
      <c r="G64" s="83">
        <f t="shared" si="19"/>
        <v>29281983</v>
      </c>
      <c r="H64" s="83">
        <f t="shared" si="19"/>
        <v>1078203831.2334807</v>
      </c>
      <c r="I64" s="83">
        <f t="shared" si="19"/>
        <v>175172322</v>
      </c>
      <c r="J64" s="83">
        <f t="shared" si="19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3"/>
        <v>0.74825619874724525</v>
      </c>
    </row>
    <row r="65" spans="1:17" ht="35.25" customHeight="1" thickBot="1" x14ac:dyDescent="0.3">
      <c r="A65" s="81" t="s">
        <v>114</v>
      </c>
      <c r="B65" s="444" t="s">
        <v>115</v>
      </c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6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8" x14ac:dyDescent="0.25">
      <c r="A3" s="441" t="s">
        <v>207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442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443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PRESUPUESTO'!J31+'LIBRO DE PRESUPUESTO'!J32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PRESUPUESTO'!J47+'LIBRO DE PRESUPUESTO'!J48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PRESUPUESTO'!J65+'LIBRO DE PRESUPUESTO'!J66+'LIBRO DE PRESUPUESTO'!J67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11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11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ENERO!J23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ENERO!J24</f>
        <v>1599800</v>
      </c>
      <c r="J24" s="21">
        <f>'LIBRO DE PRESUPUESTO'!J166</f>
        <v>14395000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ENERO!J25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ENERO!J26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0</v>
      </c>
      <c r="G27" s="65">
        <f t="shared" si="10"/>
        <v>0</v>
      </c>
      <c r="H27" s="65">
        <f t="shared" si="10"/>
        <v>132448328</v>
      </c>
      <c r="I27" s="65">
        <f t="shared" si="10"/>
        <v>3633632</v>
      </c>
      <c r="J27" s="65">
        <f t="shared" si="10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1">C28-D28+E28+F28-G28</f>
        <v>16180000</v>
      </c>
      <c r="I28" s="21">
        <f>ENERO!J28</f>
        <v>1200000</v>
      </c>
      <c r="J28" s="21">
        <v>0</v>
      </c>
      <c r="K28" s="20">
        <f t="shared" si="9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2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ENERO!J29</f>
        <v>874615</v>
      </c>
      <c r="J29" s="21">
        <f>SUM('LIBRO DE PRESUPUESTO'!J215:J225)</f>
        <v>12542553</v>
      </c>
      <c r="K29" s="20">
        <f t="shared" si="9"/>
        <v>13417168</v>
      </c>
      <c r="L29" s="15">
        <f t="shared" si="1"/>
        <v>0.34141829138379626</v>
      </c>
      <c r="M29" s="23">
        <f>J29+I29</f>
        <v>13417168</v>
      </c>
      <c r="N29" s="24">
        <f t="shared" si="12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ENERO!J30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ENERO!J31</f>
        <v>720300</v>
      </c>
      <c r="J31" s="41">
        <f>'LIBRO DE PRESUPUESTO'!J363</f>
        <v>693300</v>
      </c>
      <c r="K31" s="20">
        <f t="shared" si="9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2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ENERO!J32</f>
        <v>535667</v>
      </c>
      <c r="J32" s="41">
        <f>'LIBRO DE PRESUPUESTO'!J381+'LIBRO DE PRESUPUESTO'!J382+'LIBRO DE PRESUPUESTO'!J383</f>
        <v>529883</v>
      </c>
      <c r="K32" s="20">
        <f t="shared" si="9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2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ENERO!J33</f>
        <v>103050</v>
      </c>
      <c r="J33" s="25">
        <f>'LIBRO DE PRESUPUESTO'!J417+'LIBRO DE PRESUPUESTO'!J418</f>
        <v>132290</v>
      </c>
      <c r="K33" s="20">
        <f t="shared" si="9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2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ENERO!J34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ENERO!J35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1"/>
        <v>8000000</v>
      </c>
      <c r="I36" s="21">
        <f>ENERO!J36</f>
        <v>0</v>
      </c>
      <c r="J36" s="43">
        <v>0</v>
      </c>
      <c r="K36" s="20">
        <f t="shared" si="9"/>
        <v>0</v>
      </c>
      <c r="L36" s="15">
        <f t="shared" si="1"/>
        <v>0</v>
      </c>
      <c r="M36" s="23">
        <f t="shared" si="6"/>
        <v>0</v>
      </c>
      <c r="N36" s="24">
        <f t="shared" si="12"/>
        <v>8000000</v>
      </c>
      <c r="O36" s="17">
        <f t="shared" si="13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ENERO!J37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ENERO!J38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ENERO!J39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ENERO!J40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ENERO!J41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ENERO!J42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296">
        <f t="shared" ref="C43:J43" si="14">C44</f>
        <v>0</v>
      </c>
      <c r="D43" s="296">
        <f t="shared" si="14"/>
        <v>0</v>
      </c>
      <c r="E43" s="296">
        <f t="shared" si="14"/>
        <v>0</v>
      </c>
      <c r="F43" s="296">
        <f t="shared" si="14"/>
        <v>1000000</v>
      </c>
      <c r="G43" s="296">
        <f t="shared" si="14"/>
        <v>0</v>
      </c>
      <c r="H43" s="296">
        <f t="shared" si="14"/>
        <v>1000000</v>
      </c>
      <c r="I43" s="297">
        <f t="shared" si="14"/>
        <v>0</v>
      </c>
      <c r="J43" s="309">
        <f t="shared" si="14"/>
        <v>0</v>
      </c>
      <c r="K43" s="63">
        <f t="shared" si="9"/>
        <v>0</v>
      </c>
      <c r="L43" s="298">
        <v>0</v>
      </c>
      <c r="M43" s="63">
        <f t="shared" si="6"/>
        <v>0</v>
      </c>
      <c r="N43" s="299">
        <f>H43-K43</f>
        <v>1000000</v>
      </c>
      <c r="O43" s="310">
        <f t="shared" si="13"/>
        <v>1</v>
      </c>
    </row>
    <row r="44" spans="1:17" ht="15" x14ac:dyDescent="0.25">
      <c r="A44" s="96">
        <v>2020120301</v>
      </c>
      <c r="B44" s="31" t="s">
        <v>191</v>
      </c>
      <c r="C44" s="295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00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4986871</v>
      </c>
      <c r="J45" s="70">
        <f t="shared" si="15"/>
        <v>4450959</v>
      </c>
      <c r="K45" s="65">
        <f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>SUM(N46:N49)</f>
        <v>74339472.320260897</v>
      </c>
      <c r="O45" s="68">
        <f t="shared" si="13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11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11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PRESUPUESTO'!J528</f>
        <v>3348793</v>
      </c>
      <c r="K47" s="20">
        <f t="shared" si="9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3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11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PRESUPUESTO'!J543</f>
        <v>1102166</v>
      </c>
      <c r="K48" s="20">
        <f t="shared" si="9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3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12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7396904</v>
      </c>
      <c r="J50" s="65">
        <f t="shared" si="16"/>
        <v>8572975</v>
      </c>
      <c r="K50" s="65">
        <f t="shared" si="9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3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11"/>
      <c r="E51" s="22"/>
      <c r="F51" s="34"/>
      <c r="G51" s="61"/>
      <c r="H51" s="20">
        <f t="shared" ref="H51:H63" si="17">C51-D51+E51+F51-G51</f>
        <v>38584317</v>
      </c>
      <c r="I51" s="21">
        <f>ENERO!J51</f>
        <v>0</v>
      </c>
      <c r="J51" s="25">
        <f>'LIBRO DE PRESUPUESTO'!J568</f>
        <v>889141</v>
      </c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11"/>
      <c r="E52" s="22"/>
      <c r="F52" s="34"/>
      <c r="G52" s="61"/>
      <c r="H52" s="20">
        <f t="shared" si="17"/>
        <v>0</v>
      </c>
      <c r="I52" s="21">
        <f>ENERO!J52</f>
        <v>0</v>
      </c>
      <c r="J52" s="21"/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11"/>
      <c r="E53" s="22"/>
      <c r="F53" s="34"/>
      <c r="G53" s="61"/>
      <c r="H53" s="20">
        <f t="shared" si="17"/>
        <v>2664792</v>
      </c>
      <c r="I53" s="21">
        <f>ENERO!J53</f>
        <v>267200</v>
      </c>
      <c r="J53" s="41">
        <f>'LIBRO DE PRESUPUESTO'!J586</f>
        <v>267200</v>
      </c>
      <c r="K53" s="20">
        <f t="shared" si="9"/>
        <v>534400</v>
      </c>
      <c r="L53" s="15">
        <f t="shared" si="1"/>
        <v>0.20054098030915735</v>
      </c>
      <c r="M53" s="23">
        <f t="shared" si="6"/>
        <v>534400</v>
      </c>
      <c r="N53" s="24">
        <f t="shared" si="18"/>
        <v>2130392</v>
      </c>
      <c r="O53" s="17">
        <f t="shared" si="13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11"/>
      <c r="E54" s="22"/>
      <c r="F54" s="34"/>
      <c r="G54" s="61"/>
      <c r="H54" s="20">
        <f t="shared" si="17"/>
        <v>40228819</v>
      </c>
      <c r="I54" s="21">
        <f>ENERO!J54</f>
        <v>3083004</v>
      </c>
      <c r="J54" s="37">
        <f>'LIBRO DE PRESUPUESTO'!J602</f>
        <v>3625434</v>
      </c>
      <c r="K54" s="20">
        <f t="shared" si="9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18"/>
        <v>33520381</v>
      </c>
      <c r="O54" s="17">
        <f t="shared" si="13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11"/>
      <c r="E55" s="22"/>
      <c r="F55" s="34"/>
      <c r="G55" s="61"/>
      <c r="H55" s="20">
        <f t="shared" si="17"/>
        <v>20419860</v>
      </c>
      <c r="I55" s="21">
        <f>ENERO!J55</f>
        <v>1797800</v>
      </c>
      <c r="J55" s="41">
        <f>'LIBRO DE PRESUPUESTO'!J618</f>
        <v>1684300</v>
      </c>
      <c r="K55" s="20">
        <f t="shared" si="9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18"/>
        <v>16937760</v>
      </c>
      <c r="O55" s="17">
        <f t="shared" si="13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11"/>
      <c r="E56" s="22"/>
      <c r="F56" s="34"/>
      <c r="G56" s="61"/>
      <c r="H56" s="20">
        <f t="shared" si="17"/>
        <v>15314892</v>
      </c>
      <c r="I56" s="21">
        <f>ENERO!J56</f>
        <v>1348600</v>
      </c>
      <c r="J56" s="41">
        <f>'LIBRO DE PRESUPUESTO'!J634</f>
        <v>1263400</v>
      </c>
      <c r="K56" s="20">
        <f t="shared" si="9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18"/>
        <v>12702892</v>
      </c>
      <c r="O56" s="17">
        <f t="shared" si="13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11"/>
      <c r="E57" s="22"/>
      <c r="F57" s="34"/>
      <c r="G57" s="61"/>
      <c r="H57" s="20">
        <f t="shared" si="17"/>
        <v>2552484</v>
      </c>
      <c r="I57" s="21">
        <f>ENERO!J57</f>
        <v>225200</v>
      </c>
      <c r="J57" s="41">
        <f>'LIBRO DE PRESUPUESTO'!J650</f>
        <v>211000</v>
      </c>
      <c r="K57" s="20">
        <f t="shared" si="9"/>
        <v>436200</v>
      </c>
      <c r="L57" s="15">
        <f t="shared" si="1"/>
        <v>0.17089235427136859</v>
      </c>
      <c r="M57" s="23">
        <f t="shared" si="6"/>
        <v>436200</v>
      </c>
      <c r="N57" s="24">
        <f t="shared" si="18"/>
        <v>2116284</v>
      </c>
      <c r="O57" s="17">
        <f t="shared" si="13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11"/>
      <c r="E58" s="22"/>
      <c r="F58" s="34"/>
      <c r="G58" s="61"/>
      <c r="H58" s="20">
        <f t="shared" si="17"/>
        <v>2552484</v>
      </c>
      <c r="I58" s="21">
        <f>ENERO!J58</f>
        <v>225200</v>
      </c>
      <c r="J58" s="41">
        <f>'LIBRO DE PRESUPUESTO'!J665</f>
        <v>211000</v>
      </c>
      <c r="K58" s="20">
        <f t="shared" si="9"/>
        <v>436200</v>
      </c>
      <c r="L58" s="15">
        <f t="shared" si="1"/>
        <v>0.17089235427136859</v>
      </c>
      <c r="M58" s="23">
        <f t="shared" si="6"/>
        <v>436200</v>
      </c>
      <c r="N58" s="24">
        <f t="shared" si="18"/>
        <v>2116284</v>
      </c>
      <c r="O58" s="17">
        <f t="shared" si="13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11"/>
      <c r="E59" s="22"/>
      <c r="F59" s="34"/>
      <c r="G59" s="61"/>
      <c r="H59" s="20">
        <f t="shared" si="17"/>
        <v>5104968</v>
      </c>
      <c r="I59" s="21">
        <f>ENERO!J59</f>
        <v>449900</v>
      </c>
      <c r="J59" s="41">
        <f>'LIBRO DE PRESUPUESTO'!J685</f>
        <v>421500</v>
      </c>
      <c r="K59" s="20">
        <f t="shared" si="9"/>
        <v>871400</v>
      </c>
      <c r="L59" s="15">
        <f t="shared" si="1"/>
        <v>0.17069646665757748</v>
      </c>
      <c r="M59" s="23">
        <f>J59+I59</f>
        <v>871400</v>
      </c>
      <c r="N59" s="24">
        <f t="shared" si="18"/>
        <v>4233568</v>
      </c>
      <c r="O59" s="17">
        <f t="shared" si="13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ENERO!J60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28650007</v>
      </c>
      <c r="G64" s="83">
        <f t="shared" si="19"/>
        <v>28650007</v>
      </c>
      <c r="H64" s="83">
        <f t="shared" si="19"/>
        <v>1078203831.2334807</v>
      </c>
      <c r="I64" s="83">
        <f t="shared" si="19"/>
        <v>91630273</v>
      </c>
      <c r="J64" s="83">
        <f t="shared" si="19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3"/>
        <v>0.837533203903013</v>
      </c>
    </row>
    <row r="65" spans="1:17" ht="35.25" customHeight="1" thickBot="1" x14ac:dyDescent="0.3">
      <c r="A65" s="81" t="s">
        <v>114</v>
      </c>
      <c r="B65" s="444" t="s">
        <v>115</v>
      </c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6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17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8" x14ac:dyDescent="0.25">
      <c r="A3" s="441" t="s">
        <v>171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442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443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PRESUPUESTO'!J30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PRESUPUESTO'!J46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PRESUPUESTO'!J89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11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11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PRESUPUESTO'!J133:J136)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3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v>0</v>
      </c>
      <c r="J24" s="21">
        <f>'LIBRO DE PRESUPUESTO'!J163+'LIBRO DE PRESUPUESTO'!J165</f>
        <v>1599800</v>
      </c>
      <c r="K24" s="20">
        <f t="shared" si="10"/>
        <v>1599800</v>
      </c>
      <c r="L24" s="15">
        <f t="shared" si="1"/>
        <v>4.9993750000000003E-2</v>
      </c>
      <c r="M24" s="23">
        <f t="shared" si="3"/>
        <v>1599800</v>
      </c>
      <c r="N24" s="24">
        <f>H24-K24</f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3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J26</f>
        <v>0</v>
      </c>
      <c r="J26" s="21"/>
      <c r="K26" s="20">
        <f t="shared" si="10"/>
        <v>0</v>
      </c>
      <c r="L26" s="15">
        <v>0</v>
      </c>
      <c r="M26" s="16">
        <f t="shared" si="3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1">SUM(C28:C42)</f>
        <v>75448328</v>
      </c>
      <c r="D27" s="65">
        <f t="shared" si="11"/>
        <v>0</v>
      </c>
      <c r="E27" s="65">
        <f t="shared" si="11"/>
        <v>57000000</v>
      </c>
      <c r="F27" s="65">
        <f t="shared" si="11"/>
        <v>0</v>
      </c>
      <c r="G27" s="65">
        <f t="shared" si="11"/>
        <v>0</v>
      </c>
      <c r="H27" s="65">
        <f t="shared" si="11"/>
        <v>132448328</v>
      </c>
      <c r="I27" s="65">
        <f t="shared" si="11"/>
        <v>0</v>
      </c>
      <c r="J27" s="65">
        <f t="shared" si="11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2">C28-D28+E28+F28-G28</f>
        <v>16180000</v>
      </c>
      <c r="I28" s="21">
        <v>0</v>
      </c>
      <c r="J28" s="21">
        <f>'LIBRO DE PRESUPUESTO'!J192</f>
        <v>1200000</v>
      </c>
      <c r="K28" s="20">
        <f t="shared" si="10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3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2"/>
        <v>39298328</v>
      </c>
      <c r="I29" s="21">
        <v>0</v>
      </c>
      <c r="J29" s="21">
        <f>'LIBRO DE PRESUPUESTO'!J213+'LIBRO DE PRESUPUESTO'!J214</f>
        <v>874615</v>
      </c>
      <c r="K29" s="20">
        <f t="shared" si="10"/>
        <v>874615</v>
      </c>
      <c r="L29" s="15">
        <f t="shared" si="1"/>
        <v>2.2255781467343853E-2</v>
      </c>
      <c r="M29" s="23">
        <f>J29+I29</f>
        <v>874615</v>
      </c>
      <c r="N29" s="24">
        <f t="shared" si="13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2"/>
        <v>1200000</v>
      </c>
      <c r="I30" s="21">
        <v>0</v>
      </c>
      <c r="J30" s="41">
        <f>'LIBRO DE PRESUPUESTO'!J342</f>
        <v>200000</v>
      </c>
      <c r="K30" s="20">
        <f t="shared" si="10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3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2"/>
        <v>10800000</v>
      </c>
      <c r="I31" s="21">
        <v>0</v>
      </c>
      <c r="J31" s="41">
        <f>'LIBRO DE PRESUPUESTO'!J362</f>
        <v>720300</v>
      </c>
      <c r="K31" s="20">
        <f t="shared" si="10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3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2"/>
        <v>6600000</v>
      </c>
      <c r="I32" s="21">
        <v>0</v>
      </c>
      <c r="J32" s="41">
        <f>SUM('LIBRO DE PRESUPUESTO'!J378:J380)</f>
        <v>535667</v>
      </c>
      <c r="K32" s="20">
        <f t="shared" si="10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3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2"/>
        <v>1920000</v>
      </c>
      <c r="I33" s="21">
        <v>0</v>
      </c>
      <c r="J33" s="25">
        <f>'LIBRO DE PRESUPUESTO'!J415+'LIBRO DE PRESUPUESTO'!J416</f>
        <v>103050</v>
      </c>
      <c r="K33" s="20">
        <f t="shared" si="10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3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2"/>
        <v>1500000</v>
      </c>
      <c r="I34" s="21"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3"/>
        <v>0</v>
      </c>
      <c r="N34" s="24">
        <f t="shared" si="13"/>
        <v>1500000</v>
      </c>
      <c r="O34" s="17">
        <f t="shared" ref="O34:O64" si="14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2"/>
        <v>0</v>
      </c>
      <c r="I35" s="21">
        <v>0</v>
      </c>
      <c r="J35" s="21">
        <v>0</v>
      </c>
      <c r="K35" s="20">
        <f t="shared" si="10"/>
        <v>0</v>
      </c>
      <c r="L35" s="15">
        <v>0</v>
      </c>
      <c r="M35" s="23">
        <f t="shared" si="3"/>
        <v>0</v>
      </c>
      <c r="N35" s="24">
        <f t="shared" si="13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2"/>
        <v>8000000</v>
      </c>
      <c r="I36" s="21"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3"/>
        <v>0</v>
      </c>
      <c r="N36" s="24">
        <f t="shared" si="13"/>
        <v>8000000</v>
      </c>
      <c r="O36" s="17">
        <f t="shared" si="14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2"/>
        <v>25000000</v>
      </c>
      <c r="I37" s="21"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3"/>
        <v>0</v>
      </c>
      <c r="N37" s="24">
        <f t="shared" si="13"/>
        <v>25000000</v>
      </c>
      <c r="O37" s="17">
        <f t="shared" si="14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2"/>
        <v>3000000</v>
      </c>
      <c r="I38" s="21"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3"/>
        <v>0</v>
      </c>
      <c r="N38" s="24">
        <f t="shared" si="13"/>
        <v>3000000</v>
      </c>
      <c r="O38" s="17">
        <f t="shared" si="14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2"/>
        <v>15000000</v>
      </c>
      <c r="I39" s="21"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3"/>
        <v>0</v>
      </c>
      <c r="N39" s="24">
        <f t="shared" si="13"/>
        <v>15000000</v>
      </c>
      <c r="O39" s="17">
        <f t="shared" si="14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2"/>
        <v>3000000</v>
      </c>
      <c r="I40" s="21"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4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2"/>
        <v>0</v>
      </c>
      <c r="I41" s="21">
        <v>0</v>
      </c>
      <c r="J41" s="21">
        <v>0</v>
      </c>
      <c r="K41" s="20">
        <f t="shared" si="10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2"/>
        <v>950000</v>
      </c>
      <c r="I42" s="21">
        <f>J42</f>
        <v>0</v>
      </c>
      <c r="J42" s="21">
        <v>0</v>
      </c>
      <c r="K42" s="20">
        <f t="shared" si="10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4"/>
        <v>1</v>
      </c>
    </row>
    <row r="43" spans="1:17" ht="15.75" x14ac:dyDescent="0.2">
      <c r="A43" s="63">
        <v>20201203</v>
      </c>
      <c r="B43" s="79" t="s">
        <v>190</v>
      </c>
      <c r="C43" s="296">
        <f t="shared" ref="C43:J43" si="15">C44</f>
        <v>0</v>
      </c>
      <c r="D43" s="296">
        <f t="shared" si="15"/>
        <v>0</v>
      </c>
      <c r="E43" s="296">
        <f t="shared" si="15"/>
        <v>0</v>
      </c>
      <c r="F43" s="296">
        <f t="shared" si="15"/>
        <v>1000000</v>
      </c>
      <c r="G43" s="296">
        <f t="shared" si="15"/>
        <v>0</v>
      </c>
      <c r="H43" s="296">
        <f t="shared" si="15"/>
        <v>1000000</v>
      </c>
      <c r="I43" s="297">
        <f t="shared" si="15"/>
        <v>0</v>
      </c>
      <c r="J43" s="309">
        <f t="shared" si="15"/>
        <v>0</v>
      </c>
      <c r="K43" s="63">
        <f t="shared" si="10"/>
        <v>0</v>
      </c>
      <c r="L43" s="298">
        <v>0</v>
      </c>
      <c r="M43" s="63">
        <f t="shared" si="3"/>
        <v>0</v>
      </c>
      <c r="N43" s="299">
        <f>H43-K43</f>
        <v>1000000</v>
      </c>
      <c r="O43" s="310">
        <f t="shared" si="14"/>
        <v>1</v>
      </c>
    </row>
    <row r="44" spans="1:17" ht="15" x14ac:dyDescent="0.25">
      <c r="A44" s="96">
        <v>2020120301</v>
      </c>
      <c r="B44" s="31" t="s">
        <v>191</v>
      </c>
      <c r="C44" s="295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00">
        <f>H44-K44</f>
        <v>1000000</v>
      </c>
      <c r="O44" s="17">
        <f t="shared" si="14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6">SUM(D46:D49)</f>
        <v>0</v>
      </c>
      <c r="E45" s="70">
        <f t="shared" si="16"/>
        <v>0</v>
      </c>
      <c r="F45" s="70">
        <f t="shared" si="16"/>
        <v>0</v>
      </c>
      <c r="G45" s="70">
        <f t="shared" si="16"/>
        <v>0</v>
      </c>
      <c r="H45" s="70">
        <f t="shared" si="16"/>
        <v>83777302.320260897</v>
      </c>
      <c r="I45" s="70">
        <f t="shared" si="16"/>
        <v>0</v>
      </c>
      <c r="J45" s="70">
        <f t="shared" si="16"/>
        <v>4986871</v>
      </c>
      <c r="K45" s="65">
        <f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>SUM(N46:N49)</f>
        <v>78790431.320260897</v>
      </c>
      <c r="O45" s="68">
        <f t="shared" si="14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11"/>
      <c r="E46" s="22"/>
      <c r="F46" s="34"/>
      <c r="G46" s="61"/>
      <c r="H46" s="20">
        <f>C46-D46+E46+F46-G46</f>
        <v>13146617.570005897</v>
      </c>
      <c r="I46" s="21">
        <f>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4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11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PRESUPUESTO'!J527</f>
        <v>3356700</v>
      </c>
      <c r="K47" s="20">
        <f t="shared" si="10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4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11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PRESUPUESTO'!J542</f>
        <v>1630171</v>
      </c>
      <c r="K48" s="20">
        <f t="shared" si="10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4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12"/>
      <c r="E49" s="22"/>
      <c r="F49" s="34"/>
      <c r="G49" s="44"/>
      <c r="H49" s="20">
        <f>C49-D49+E49+F49-G49</f>
        <v>6207712.159777239</v>
      </c>
      <c r="I49" s="21">
        <f>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4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7">SUM(C51:C60)</f>
        <v>127422616</v>
      </c>
      <c r="D50" s="70">
        <f t="shared" si="17"/>
        <v>0</v>
      </c>
      <c r="E50" s="70">
        <f t="shared" si="17"/>
        <v>0</v>
      </c>
      <c r="F50" s="70">
        <f t="shared" si="17"/>
        <v>0</v>
      </c>
      <c r="G50" s="70">
        <f t="shared" si="17"/>
        <v>0</v>
      </c>
      <c r="H50" s="70">
        <f t="shared" si="17"/>
        <v>127422616</v>
      </c>
      <c r="I50" s="65">
        <f t="shared" si="17"/>
        <v>0</v>
      </c>
      <c r="J50" s="65">
        <f t="shared" si="17"/>
        <v>7396904</v>
      </c>
      <c r="K50" s="65">
        <f t="shared" si="10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4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11"/>
      <c r="E51" s="22"/>
      <c r="F51" s="34"/>
      <c r="G51" s="61"/>
      <c r="H51" s="20">
        <f t="shared" ref="H51:H63" si="18">C51-D51+E51+F51-G51</f>
        <v>38584317</v>
      </c>
      <c r="I51" s="21">
        <f>J51</f>
        <v>0</v>
      </c>
      <c r="J51" s="25">
        <v>0</v>
      </c>
      <c r="K51" s="20">
        <f t="shared" si="10"/>
        <v>0</v>
      </c>
      <c r="L51" s="15">
        <f t="shared" si="1"/>
        <v>0</v>
      </c>
      <c r="M51" s="23">
        <f t="shared" si="3"/>
        <v>0</v>
      </c>
      <c r="N51" s="24">
        <f t="shared" ref="N51:N63" si="19">H51-K51</f>
        <v>38584317</v>
      </c>
      <c r="O51" s="17">
        <f t="shared" si="14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11"/>
      <c r="E52" s="22"/>
      <c r="F52" s="34"/>
      <c r="G52" s="61"/>
      <c r="H52" s="20">
        <f t="shared" si="18"/>
        <v>0</v>
      </c>
      <c r="I52" s="21">
        <f>J52</f>
        <v>0</v>
      </c>
      <c r="J52" s="21"/>
      <c r="K52" s="20">
        <f t="shared" si="10"/>
        <v>0</v>
      </c>
      <c r="L52" s="15">
        <v>0</v>
      </c>
      <c r="M52" s="16">
        <f t="shared" si="3"/>
        <v>0</v>
      </c>
      <c r="N52" s="24">
        <f t="shared" si="19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11"/>
      <c r="E53" s="22"/>
      <c r="F53" s="34"/>
      <c r="G53" s="61"/>
      <c r="H53" s="20">
        <f t="shared" si="18"/>
        <v>2664792</v>
      </c>
      <c r="I53" s="21">
        <v>0</v>
      </c>
      <c r="J53" s="41">
        <f>'LIBRO DE PRESUPUESTO'!J585</f>
        <v>267200</v>
      </c>
      <c r="K53" s="20">
        <f t="shared" si="10"/>
        <v>267200</v>
      </c>
      <c r="L53" s="15">
        <f t="shared" si="1"/>
        <v>0.10027049015457867</v>
      </c>
      <c r="M53" s="23">
        <f t="shared" si="3"/>
        <v>267200</v>
      </c>
      <c r="N53" s="24">
        <f t="shared" si="19"/>
        <v>2397592</v>
      </c>
      <c r="O53" s="17">
        <f t="shared" si="14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11"/>
      <c r="E54" s="22"/>
      <c r="F54" s="34"/>
      <c r="G54" s="61"/>
      <c r="H54" s="20">
        <f t="shared" si="18"/>
        <v>40228819</v>
      </c>
      <c r="I54" s="21">
        <v>0</v>
      </c>
      <c r="J54" s="37">
        <f>'LIBRO DE PRESUPUESTO'!J601</f>
        <v>3083004</v>
      </c>
      <c r="K54" s="20">
        <f t="shared" si="10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19"/>
        <v>37145815</v>
      </c>
      <c r="O54" s="17">
        <f t="shared" si="14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11"/>
      <c r="E55" s="22"/>
      <c r="F55" s="34"/>
      <c r="G55" s="61"/>
      <c r="H55" s="20">
        <f t="shared" si="18"/>
        <v>20419860</v>
      </c>
      <c r="I55" s="21">
        <v>0</v>
      </c>
      <c r="J55" s="41">
        <f>'LIBRO DE PRESUPUESTO'!J617</f>
        <v>1797800</v>
      </c>
      <c r="K55" s="20">
        <f t="shared" si="10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19"/>
        <v>18622060</v>
      </c>
      <c r="O55" s="17">
        <f t="shared" si="14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11"/>
      <c r="E56" s="22"/>
      <c r="F56" s="34"/>
      <c r="G56" s="61"/>
      <c r="H56" s="20">
        <f t="shared" si="18"/>
        <v>15314892</v>
      </c>
      <c r="I56" s="21">
        <v>0</v>
      </c>
      <c r="J56" s="41">
        <f>'LIBRO DE PRESUPUESTO'!J633</f>
        <v>1348600</v>
      </c>
      <c r="K56" s="20">
        <f t="shared" si="10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19"/>
        <v>13966292</v>
      </c>
      <c r="O56" s="17">
        <f t="shared" si="14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11"/>
      <c r="E57" s="22"/>
      <c r="F57" s="34"/>
      <c r="G57" s="61"/>
      <c r="H57" s="20">
        <f t="shared" si="18"/>
        <v>2552484</v>
      </c>
      <c r="I57" s="21">
        <v>0</v>
      </c>
      <c r="J57" s="41">
        <f>'LIBRO DE PRESUPUESTO'!J649</f>
        <v>225200</v>
      </c>
      <c r="K57" s="20">
        <f t="shared" si="10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19"/>
        <v>2327284</v>
      </c>
      <c r="O57" s="17">
        <f t="shared" si="14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11"/>
      <c r="E58" s="22"/>
      <c r="F58" s="34"/>
      <c r="G58" s="61"/>
      <c r="H58" s="20">
        <f t="shared" si="18"/>
        <v>2552484</v>
      </c>
      <c r="I58" s="21">
        <v>0</v>
      </c>
      <c r="J58" s="41">
        <f>'LIBRO DE PRESUPUESTO'!J664</f>
        <v>225200</v>
      </c>
      <c r="K58" s="20">
        <f t="shared" si="10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19"/>
        <v>2327284</v>
      </c>
      <c r="O58" s="17">
        <f t="shared" si="14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11"/>
      <c r="E59" s="22"/>
      <c r="F59" s="34"/>
      <c r="G59" s="61"/>
      <c r="H59" s="20">
        <f t="shared" si="18"/>
        <v>5104968</v>
      </c>
      <c r="I59" s="21">
        <v>0</v>
      </c>
      <c r="J59" s="41">
        <f>'LIBRO DE PRESUPUESTO'!J684</f>
        <v>449900</v>
      </c>
      <c r="K59" s="20">
        <f t="shared" si="10"/>
        <v>449900</v>
      </c>
      <c r="L59" s="15">
        <f t="shared" si="1"/>
        <v>8.8129837444622577E-2</v>
      </c>
      <c r="M59" s="23">
        <f>J59+I59</f>
        <v>449900</v>
      </c>
      <c r="N59" s="24">
        <f t="shared" si="19"/>
        <v>4655068</v>
      </c>
      <c r="O59" s="17">
        <f t="shared" si="14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11"/>
      <c r="E60" s="22"/>
      <c r="F60" s="34"/>
      <c r="G60" s="61"/>
      <c r="H60" s="20">
        <f t="shared" si="18"/>
        <v>0</v>
      </c>
      <c r="I60" s="21">
        <f>J60</f>
        <v>0</v>
      </c>
      <c r="J60" s="21">
        <v>0</v>
      </c>
      <c r="K60" s="20">
        <f t="shared" si="10"/>
        <v>0</v>
      </c>
      <c r="L60" s="15">
        <v>0</v>
      </c>
      <c r="M60" s="16">
        <f t="shared" si="3"/>
        <v>0</v>
      </c>
      <c r="N60" s="24">
        <f t="shared" si="19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8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19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8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19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0">E8+E18+E22+E27+E43+E45+E50+E61</f>
        <v>104610765</v>
      </c>
      <c r="F64" s="83">
        <f t="shared" si="20"/>
        <v>28650007</v>
      </c>
      <c r="G64" s="83">
        <f t="shared" si="20"/>
        <v>28650007</v>
      </c>
      <c r="H64" s="83">
        <f t="shared" si="20"/>
        <v>1078203831.2334807</v>
      </c>
      <c r="I64" s="83">
        <f t="shared" si="20"/>
        <v>0</v>
      </c>
      <c r="J64" s="83">
        <f t="shared" si="20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4"/>
        <v>0.91501581579878666</v>
      </c>
    </row>
    <row r="65" spans="1:17" ht="35.25" customHeight="1" thickBot="1" x14ac:dyDescent="0.3">
      <c r="A65" s="81" t="s">
        <v>114</v>
      </c>
      <c r="B65" s="444" t="s">
        <v>115</v>
      </c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6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baseColWidth="10"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0"/>
  <sheetViews>
    <sheetView workbookViewId="0">
      <selection activeCell="E8" sqref="E8"/>
    </sheetView>
  </sheetViews>
  <sheetFormatPr baseColWidth="10" defaultRowHeight="14.25" x14ac:dyDescent="0.2"/>
  <cols>
    <col min="3" max="3" width="17.375" customWidth="1"/>
    <col min="5" max="5" width="12.625" bestFit="1" customWidth="1"/>
  </cols>
  <sheetData>
    <row r="6" spans="3:5" ht="24.75" x14ac:dyDescent="0.25">
      <c r="C6" s="403"/>
      <c r="D6" s="404" t="s">
        <v>35</v>
      </c>
      <c r="E6" s="405" t="s">
        <v>308</v>
      </c>
    </row>
    <row r="7" spans="3:5" x14ac:dyDescent="0.2">
      <c r="C7" s="146" t="s">
        <v>195</v>
      </c>
      <c r="D7" s="111">
        <v>1637887</v>
      </c>
      <c r="E7" s="111">
        <v>2824327</v>
      </c>
    </row>
    <row r="8" spans="3:5" x14ac:dyDescent="0.2">
      <c r="C8" s="146" t="s">
        <v>243</v>
      </c>
      <c r="D8" s="111">
        <v>1694591</v>
      </c>
      <c r="E8" s="111">
        <v>2922106</v>
      </c>
    </row>
    <row r="9" spans="3:5" x14ac:dyDescent="0.2">
      <c r="C9" s="146" t="s">
        <v>197</v>
      </c>
      <c r="D9" s="111">
        <v>1482975</v>
      </c>
      <c r="E9" s="111">
        <v>2656062</v>
      </c>
    </row>
    <row r="10" spans="3:5" x14ac:dyDescent="0.2">
      <c r="C10" s="146" t="s">
        <v>196</v>
      </c>
      <c r="D10" s="111">
        <v>1637882</v>
      </c>
      <c r="E10" s="111">
        <v>2933519</v>
      </c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4"/>
  <sheetViews>
    <sheetView zoomScale="71" zoomScaleNormal="71" zoomScaleSheetLayoutView="30" workbookViewId="0">
      <pane ySplit="1" topLeftCell="A688" activePane="bottomLeft" state="frozen"/>
      <selection activeCell="E8" sqref="E8"/>
      <selection pane="bottomLeft" activeCell="E8" sqref="E8"/>
    </sheetView>
  </sheetViews>
  <sheetFormatPr baseColWidth="10" defaultRowHeight="12.75" x14ac:dyDescent="0.2"/>
  <cols>
    <col min="1" max="1" width="4.125" style="103" customWidth="1"/>
    <col min="2" max="2" width="11" style="332"/>
    <col min="3" max="3" width="19.75" style="201" bestFit="1" customWidth="1"/>
    <col min="4" max="4" width="36.125" style="103" customWidth="1"/>
    <col min="5" max="5" width="19" style="103" customWidth="1"/>
    <col min="6" max="8" width="16.375" style="103" bestFit="1" customWidth="1"/>
    <col min="9" max="9" width="18.375" style="103" bestFit="1" customWidth="1"/>
    <col min="10" max="10" width="21.875" style="103" customWidth="1"/>
    <col min="11" max="11" width="16.75" style="103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2" s="207" customFormat="1" ht="36.75" customHeight="1" x14ac:dyDescent="0.25">
      <c r="B1" s="319"/>
      <c r="C1" s="249"/>
      <c r="D1" s="250" t="s">
        <v>3</v>
      </c>
      <c r="E1" s="251" t="s">
        <v>168</v>
      </c>
      <c r="F1" s="251" t="s">
        <v>122</v>
      </c>
      <c r="G1" s="251" t="s">
        <v>7</v>
      </c>
      <c r="H1" s="251" t="s">
        <v>170</v>
      </c>
      <c r="I1" s="251" t="s">
        <v>169</v>
      </c>
      <c r="J1" s="252" t="s">
        <v>220</v>
      </c>
      <c r="K1" s="370" t="s">
        <v>166</v>
      </c>
      <c r="L1" s="393" t="s">
        <v>293</v>
      </c>
    </row>
    <row r="2" spans="2:12" s="207" customFormat="1" ht="36.75" customHeight="1" x14ac:dyDescent="0.2">
      <c r="B2" s="320"/>
      <c r="C2" s="246"/>
      <c r="D2" s="247"/>
      <c r="E2" s="248"/>
      <c r="F2" s="248"/>
      <c r="G2" s="248"/>
      <c r="H2" s="248"/>
      <c r="I2" s="248"/>
      <c r="J2" s="248"/>
      <c r="K2" s="371"/>
      <c r="L2" s="393"/>
    </row>
    <row r="3" spans="2:12" ht="36.75" customHeight="1" x14ac:dyDescent="0.2">
      <c r="B3" s="321" t="s">
        <v>167</v>
      </c>
      <c r="C3" s="240" t="s">
        <v>20</v>
      </c>
      <c r="D3" s="245" t="s">
        <v>21</v>
      </c>
      <c r="E3" s="243">
        <f>SUM(E4:E122)</f>
        <v>657894826</v>
      </c>
      <c r="F3" s="244">
        <f>F4+F27+F45+F29+F64+F80+F88+F106+F122</f>
        <v>31428242</v>
      </c>
      <c r="G3" s="244">
        <f>G4+G27+G45+G29+G64+G80+G88+G106+G122</f>
        <v>203217</v>
      </c>
      <c r="H3" s="244">
        <f>H4+H27+H45+H29+H64+H80+H88+H106+H122</f>
        <v>54056882</v>
      </c>
      <c r="I3" s="243">
        <f>SUM(I4:I122)</f>
        <v>635469403</v>
      </c>
      <c r="J3" s="243">
        <f>SUM(J4:J122)</f>
        <v>1224276510</v>
      </c>
      <c r="K3" s="372">
        <f>+K4+K27+K29+K45+K64+K80+K88+K106+K122+K131+K147+K148</f>
        <v>0</v>
      </c>
      <c r="L3" s="214"/>
    </row>
    <row r="4" spans="2:12" ht="15.75" x14ac:dyDescent="0.25">
      <c r="B4" s="322"/>
      <c r="C4" s="232">
        <v>2020110101</v>
      </c>
      <c r="D4" s="233" t="s">
        <v>23</v>
      </c>
      <c r="E4" s="234">
        <v>510496564</v>
      </c>
      <c r="F4" s="235">
        <f>SUM(F5:F17)</f>
        <v>27610765</v>
      </c>
      <c r="G4" s="235">
        <f>SUM(G5:G17)</f>
        <v>0</v>
      </c>
      <c r="H4" s="235">
        <f>SUM(H5:H26)</f>
        <v>49489660</v>
      </c>
      <c r="I4" s="236">
        <f>ROUND((E4+F4+G4-H4),1)</f>
        <v>488617669</v>
      </c>
      <c r="J4" s="237">
        <f>SUM(J5:J26)</f>
        <v>488617669</v>
      </c>
      <c r="K4" s="373">
        <f>I4-J4</f>
        <v>0</v>
      </c>
      <c r="L4" s="394">
        <f>K4</f>
        <v>0</v>
      </c>
    </row>
    <row r="5" spans="2:12" x14ac:dyDescent="0.2">
      <c r="B5" s="323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374"/>
      <c r="L5" s="214"/>
    </row>
    <row r="6" spans="2:12" x14ac:dyDescent="0.2">
      <c r="B6" s="323">
        <v>43124</v>
      </c>
      <c r="C6" s="278"/>
      <c r="D6" s="214" t="s">
        <v>184</v>
      </c>
      <c r="E6" s="214"/>
      <c r="F6" s="216">
        <v>27610765</v>
      </c>
      <c r="G6" s="99"/>
      <c r="H6" s="128"/>
      <c r="I6" s="214"/>
      <c r="J6" s="214"/>
      <c r="K6" s="374"/>
      <c r="L6" s="214"/>
    </row>
    <row r="7" spans="2:12" x14ac:dyDescent="0.2">
      <c r="B7" s="323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374"/>
      <c r="L7" s="214"/>
    </row>
    <row r="8" spans="2:12" x14ac:dyDescent="0.2">
      <c r="B8" s="323">
        <v>43157</v>
      </c>
      <c r="C8" s="148"/>
      <c r="D8" s="230" t="s">
        <v>199</v>
      </c>
      <c r="E8" s="215"/>
      <c r="F8" s="216"/>
      <c r="G8" s="99"/>
      <c r="H8" s="128"/>
      <c r="I8" s="129"/>
      <c r="J8" s="111">
        <v>39390167</v>
      </c>
      <c r="K8" s="374"/>
      <c r="L8" s="214"/>
    </row>
    <row r="9" spans="2:12" x14ac:dyDescent="0.2">
      <c r="B9" s="323">
        <v>43171</v>
      </c>
      <c r="C9" s="148"/>
      <c r="D9" s="230" t="s">
        <v>212</v>
      </c>
      <c r="E9" s="215"/>
      <c r="F9" s="216"/>
      <c r="G9" s="99"/>
      <c r="H9" s="128">
        <v>631976</v>
      </c>
      <c r="I9" s="129"/>
      <c r="J9" s="111"/>
      <c r="K9" s="374"/>
      <c r="L9" s="214"/>
    </row>
    <row r="10" spans="2:12" x14ac:dyDescent="0.2">
      <c r="B10" s="323">
        <v>43181</v>
      </c>
      <c r="C10" s="148"/>
      <c r="D10" s="230" t="s">
        <v>209</v>
      </c>
      <c r="E10" s="215"/>
      <c r="F10" s="216"/>
      <c r="G10" s="99"/>
      <c r="H10" s="128"/>
      <c r="I10" s="129"/>
      <c r="J10" s="111">
        <v>46905281</v>
      </c>
      <c r="K10" s="374"/>
      <c r="L10" s="214"/>
    </row>
    <row r="11" spans="2:12" x14ac:dyDescent="0.2">
      <c r="B11" s="323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374"/>
      <c r="L11" s="214"/>
    </row>
    <row r="12" spans="2:12" x14ac:dyDescent="0.2">
      <c r="B12" s="323">
        <v>43245</v>
      </c>
      <c r="C12" s="148"/>
      <c r="D12" s="230" t="s">
        <v>129</v>
      </c>
      <c r="E12" s="215"/>
      <c r="F12" s="216"/>
      <c r="G12" s="99"/>
      <c r="H12" s="128"/>
      <c r="I12" s="129"/>
      <c r="J12" s="111">
        <v>41895205</v>
      </c>
      <c r="K12" s="374"/>
      <c r="L12" s="214"/>
    </row>
    <row r="13" spans="2:12" x14ac:dyDescent="0.2">
      <c r="B13" s="323">
        <v>43277</v>
      </c>
      <c r="C13" s="148"/>
      <c r="D13" s="230" t="s">
        <v>130</v>
      </c>
      <c r="E13" s="215"/>
      <c r="F13" s="216"/>
      <c r="G13" s="99"/>
      <c r="H13" s="128"/>
      <c r="I13" s="129"/>
      <c r="J13" s="111">
        <v>38738117</v>
      </c>
      <c r="K13" s="374"/>
      <c r="L13" s="214"/>
    </row>
    <row r="14" spans="2:12" x14ac:dyDescent="0.2">
      <c r="B14" s="323">
        <v>43305</v>
      </c>
      <c r="C14" s="148"/>
      <c r="D14" s="230" t="s">
        <v>131</v>
      </c>
      <c r="E14" s="215"/>
      <c r="F14" s="216"/>
      <c r="G14" s="99"/>
      <c r="H14" s="128"/>
      <c r="I14" s="129"/>
      <c r="J14" s="111">
        <v>41222932</v>
      </c>
      <c r="K14" s="374"/>
      <c r="L14" s="214"/>
    </row>
    <row r="15" spans="2:12" x14ac:dyDescent="0.2">
      <c r="B15" s="323" t="s">
        <v>131</v>
      </c>
      <c r="C15" s="148"/>
      <c r="D15" s="230" t="s">
        <v>252</v>
      </c>
      <c r="E15" s="215"/>
      <c r="F15" s="216"/>
      <c r="G15" s="99"/>
      <c r="H15" s="128"/>
      <c r="I15" s="129"/>
      <c r="J15" s="111">
        <v>-1015194</v>
      </c>
      <c r="K15" s="374"/>
      <c r="L15" s="214"/>
    </row>
    <row r="16" spans="2:12" x14ac:dyDescent="0.2">
      <c r="B16" s="323">
        <v>43336</v>
      </c>
      <c r="C16" s="148"/>
      <c r="D16" s="230" t="s">
        <v>132</v>
      </c>
      <c r="E16" s="215"/>
      <c r="F16" s="216"/>
      <c r="G16" s="99"/>
      <c r="H16" s="128"/>
      <c r="I16" s="129"/>
      <c r="J16" s="111">
        <v>41853557</v>
      </c>
      <c r="K16" s="374"/>
      <c r="L16" s="214"/>
    </row>
    <row r="17" spans="2:12" x14ac:dyDescent="0.2">
      <c r="B17" s="352">
        <v>43361</v>
      </c>
      <c r="C17" s="353"/>
      <c r="D17" s="354" t="s">
        <v>264</v>
      </c>
      <c r="E17" s="215"/>
      <c r="F17" s="216"/>
      <c r="G17" s="99"/>
      <c r="H17" s="128">
        <v>16000000</v>
      </c>
      <c r="I17" s="129"/>
      <c r="J17" s="111"/>
      <c r="K17" s="374"/>
      <c r="L17" s="214"/>
    </row>
    <row r="18" spans="2:12" x14ac:dyDescent="0.2">
      <c r="B18" s="355">
        <v>43367</v>
      </c>
      <c r="C18" s="356"/>
      <c r="D18" s="357" t="s">
        <v>133</v>
      </c>
      <c r="E18" s="215"/>
      <c r="F18" s="216"/>
      <c r="G18" s="99"/>
      <c r="H18" s="128"/>
      <c r="I18" s="129"/>
      <c r="J18" s="111">
        <v>41853557</v>
      </c>
      <c r="K18" s="374"/>
      <c r="L18" s="214"/>
    </row>
    <row r="19" spans="2:12" x14ac:dyDescent="0.2">
      <c r="B19" s="355">
        <v>43397</v>
      </c>
      <c r="C19" s="356"/>
      <c r="D19" s="357" t="s">
        <v>134</v>
      </c>
      <c r="E19" s="215"/>
      <c r="F19" s="216"/>
      <c r="G19" s="99"/>
      <c r="H19" s="128"/>
      <c r="I19" s="129"/>
      <c r="J19" s="349">
        <v>41853557</v>
      </c>
      <c r="K19" s="374"/>
      <c r="L19" s="111"/>
    </row>
    <row r="20" spans="2:12" x14ac:dyDescent="0.2">
      <c r="B20" s="367">
        <v>43417</v>
      </c>
      <c r="C20" s="368"/>
      <c r="D20" s="369" t="s">
        <v>281</v>
      </c>
      <c r="E20" s="215"/>
      <c r="F20" s="216"/>
      <c r="G20" s="99"/>
      <c r="H20" s="128">
        <v>803217</v>
      </c>
      <c r="I20" s="129"/>
      <c r="J20" s="349"/>
      <c r="K20" s="374"/>
      <c r="L20" s="111"/>
    </row>
    <row r="21" spans="2:12" x14ac:dyDescent="0.2">
      <c r="B21" s="355">
        <v>43427</v>
      </c>
      <c r="C21" s="356"/>
      <c r="D21" s="357" t="s">
        <v>135</v>
      </c>
      <c r="E21" s="215"/>
      <c r="F21" s="216"/>
      <c r="G21" s="99"/>
      <c r="H21" s="128"/>
      <c r="I21" s="129"/>
      <c r="J21" s="349">
        <v>41853557</v>
      </c>
      <c r="K21" s="374"/>
      <c r="L21" s="111"/>
    </row>
    <row r="22" spans="2:12" x14ac:dyDescent="0.2">
      <c r="B22" s="406">
        <v>43440</v>
      </c>
      <c r="C22" s="407"/>
      <c r="D22" s="408" t="s">
        <v>292</v>
      </c>
      <c r="E22" s="215"/>
      <c r="F22" s="216"/>
      <c r="G22" s="99"/>
      <c r="H22" s="128">
        <v>3404460</v>
      </c>
      <c r="I22" s="129"/>
      <c r="J22" s="349"/>
      <c r="K22" s="374"/>
      <c r="L22" s="111"/>
    </row>
    <row r="23" spans="2:12" x14ac:dyDescent="0.2">
      <c r="B23" s="355">
        <v>43458</v>
      </c>
      <c r="C23" s="356"/>
      <c r="D23" s="357" t="s">
        <v>136</v>
      </c>
      <c r="E23" s="215"/>
      <c r="F23" s="216"/>
      <c r="G23" s="99"/>
      <c r="H23" s="128"/>
      <c r="I23" s="129"/>
      <c r="J23" s="349">
        <v>38731639</v>
      </c>
      <c r="K23" s="374"/>
      <c r="L23" s="111"/>
    </row>
    <row r="24" spans="2:12" x14ac:dyDescent="0.2">
      <c r="B24" s="355"/>
      <c r="C24" s="356"/>
      <c r="D24" s="357"/>
      <c r="E24" s="215"/>
      <c r="F24" s="216"/>
      <c r="G24" s="99"/>
      <c r="H24" s="128"/>
      <c r="I24" s="129"/>
      <c r="J24" s="349"/>
      <c r="K24" s="374"/>
      <c r="L24" s="111"/>
    </row>
    <row r="25" spans="2:12" x14ac:dyDescent="0.2">
      <c r="B25" s="355"/>
      <c r="C25" s="356"/>
      <c r="D25" s="357"/>
      <c r="E25" s="215"/>
      <c r="F25" s="216"/>
      <c r="G25" s="99"/>
      <c r="H25" s="128"/>
      <c r="I25" s="129"/>
      <c r="J25" s="111"/>
      <c r="K25" s="374"/>
      <c r="L25" s="214"/>
    </row>
    <row r="26" spans="2:12" x14ac:dyDescent="0.2">
      <c r="B26" s="324"/>
      <c r="C26" s="148"/>
      <c r="D26" s="146"/>
      <c r="E26" s="215"/>
      <c r="F26" s="216"/>
      <c r="G26" s="99"/>
      <c r="H26" s="128"/>
      <c r="I26" s="129"/>
      <c r="J26" s="111"/>
      <c r="K26" s="374"/>
      <c r="L26" s="214"/>
    </row>
    <row r="27" spans="2:12" x14ac:dyDescent="0.2">
      <c r="B27" s="325"/>
      <c r="C27" s="217" t="s">
        <v>24</v>
      </c>
      <c r="D27" s="212" t="s">
        <v>25</v>
      </c>
      <c r="E27" s="218">
        <v>0</v>
      </c>
      <c r="F27" s="219"/>
      <c r="G27" s="213"/>
      <c r="H27" s="213"/>
      <c r="I27" s="213">
        <f>ROUND((E27+F27+G27-H27),1)</f>
        <v>0</v>
      </c>
      <c r="J27" s="220"/>
      <c r="K27" s="375"/>
      <c r="L27" s="214"/>
    </row>
    <row r="28" spans="2:12" x14ac:dyDescent="0.2">
      <c r="B28" s="326"/>
      <c r="C28" s="221"/>
      <c r="D28" s="210"/>
      <c r="E28" s="222"/>
      <c r="F28" s="223"/>
      <c r="G28" s="211"/>
      <c r="H28" s="211"/>
      <c r="I28" s="211"/>
      <c r="J28" s="224"/>
      <c r="K28" s="376"/>
      <c r="L28" s="214"/>
    </row>
    <row r="29" spans="2:12" s="238" customFormat="1" ht="15.75" x14ac:dyDescent="0.25">
      <c r="B29" s="322"/>
      <c r="C29" s="232" t="s">
        <v>26</v>
      </c>
      <c r="D29" s="233" t="s">
        <v>27</v>
      </c>
      <c r="E29" s="234">
        <v>1077494</v>
      </c>
      <c r="F29" s="235">
        <f>SUM(F30:F44)</f>
        <v>0</v>
      </c>
      <c r="G29" s="235">
        <f>SUM(G30:G44)</f>
        <v>0</v>
      </c>
      <c r="H29" s="235">
        <f>SUM(H30:H44)</f>
        <v>48366</v>
      </c>
      <c r="I29" s="236">
        <f>ROUND((E29+F29+G29-H29),1)</f>
        <v>1029128</v>
      </c>
      <c r="J29" s="237">
        <f>SUM(J30:J43)</f>
        <v>1029128</v>
      </c>
      <c r="K29" s="373">
        <f>I29-J29</f>
        <v>0</v>
      </c>
      <c r="L29" s="395">
        <f>K29</f>
        <v>0</v>
      </c>
    </row>
    <row r="30" spans="2:12" x14ac:dyDescent="0.2">
      <c r="B30" s="323">
        <v>43129</v>
      </c>
      <c r="C30" s="148"/>
      <c r="D30" s="230" t="s">
        <v>125</v>
      </c>
      <c r="E30" s="215"/>
      <c r="F30" s="216"/>
      <c r="G30" s="99"/>
      <c r="H30" s="100"/>
      <c r="I30" s="129"/>
      <c r="J30" s="111">
        <v>83140</v>
      </c>
      <c r="K30" s="374"/>
      <c r="L30" s="214"/>
    </row>
    <row r="31" spans="2:12" x14ac:dyDescent="0.2">
      <c r="B31" s="324"/>
      <c r="C31" s="148"/>
      <c r="D31" s="230" t="s">
        <v>200</v>
      </c>
      <c r="E31" s="215"/>
      <c r="F31" s="216"/>
      <c r="G31" s="99"/>
      <c r="H31" s="100"/>
      <c r="I31" s="129"/>
      <c r="J31" s="111">
        <v>-27713</v>
      </c>
      <c r="K31" s="374"/>
      <c r="L31" s="214"/>
    </row>
    <row r="32" spans="2:12" x14ac:dyDescent="0.2">
      <c r="B32" s="324">
        <v>43157</v>
      </c>
      <c r="C32" s="148"/>
      <c r="D32" s="230" t="s">
        <v>126</v>
      </c>
      <c r="E32" s="215"/>
      <c r="F32" s="216"/>
      <c r="G32" s="99"/>
      <c r="H32" s="100"/>
      <c r="I32" s="129"/>
      <c r="J32" s="111">
        <v>83140</v>
      </c>
      <c r="K32" s="374"/>
      <c r="L32" s="214"/>
    </row>
    <row r="33" spans="2:12" x14ac:dyDescent="0.2">
      <c r="B33" s="324">
        <v>43181</v>
      </c>
      <c r="C33" s="148"/>
      <c r="D33" s="230" t="s">
        <v>127</v>
      </c>
      <c r="E33" s="215"/>
      <c r="F33" s="216"/>
      <c r="G33" s="99"/>
      <c r="H33" s="100"/>
      <c r="I33" s="129"/>
      <c r="J33" s="111">
        <f>88211+8451</f>
        <v>96662</v>
      </c>
      <c r="K33" s="374"/>
      <c r="L33" s="214"/>
    </row>
    <row r="34" spans="2:12" x14ac:dyDescent="0.2">
      <c r="B34" s="324">
        <v>43215</v>
      </c>
      <c r="C34" s="148"/>
      <c r="D34" s="230" t="s">
        <v>128</v>
      </c>
      <c r="E34" s="215"/>
      <c r="F34" s="216"/>
      <c r="G34" s="99"/>
      <c r="H34" s="100"/>
      <c r="I34" s="129"/>
      <c r="J34" s="111">
        <v>88211</v>
      </c>
      <c r="K34" s="374"/>
      <c r="L34" s="214"/>
    </row>
    <row r="35" spans="2:12" x14ac:dyDescent="0.2">
      <c r="B35" s="323">
        <v>43245</v>
      </c>
      <c r="C35" s="148"/>
      <c r="D35" s="230" t="s">
        <v>129</v>
      </c>
      <c r="E35" s="215"/>
      <c r="F35" s="216"/>
      <c r="G35" s="99"/>
      <c r="H35" s="100"/>
      <c r="I35" s="129"/>
      <c r="J35" s="111">
        <v>88211</v>
      </c>
      <c r="K35" s="374"/>
      <c r="L35" s="214"/>
    </row>
    <row r="36" spans="2:12" x14ac:dyDescent="0.2">
      <c r="B36" s="323">
        <v>43277</v>
      </c>
      <c r="C36" s="148"/>
      <c r="D36" s="230" t="s">
        <v>130</v>
      </c>
      <c r="E36" s="215"/>
      <c r="F36" s="216"/>
      <c r="G36" s="99"/>
      <c r="H36" s="100"/>
      <c r="I36" s="129"/>
      <c r="J36" s="111">
        <v>88211</v>
      </c>
      <c r="K36" s="374"/>
      <c r="L36" s="214"/>
    </row>
    <row r="37" spans="2:12" x14ac:dyDescent="0.2">
      <c r="B37" s="324">
        <v>43305</v>
      </c>
      <c r="C37" s="148"/>
      <c r="D37" s="230" t="s">
        <v>131</v>
      </c>
      <c r="E37" s="215"/>
      <c r="F37" s="216"/>
      <c r="G37" s="99"/>
      <c r="H37" s="100"/>
      <c r="I37" s="129"/>
      <c r="J37" s="111">
        <v>88211</v>
      </c>
      <c r="K37" s="374"/>
      <c r="L37" s="214"/>
    </row>
    <row r="38" spans="2:12" x14ac:dyDescent="0.2">
      <c r="B38" s="323">
        <v>43336</v>
      </c>
      <c r="C38" s="148"/>
      <c r="D38" s="230" t="s">
        <v>132</v>
      </c>
      <c r="E38" s="215"/>
      <c r="F38" s="216"/>
      <c r="G38" s="99"/>
      <c r="H38" s="100"/>
      <c r="I38" s="129"/>
      <c r="J38" s="111">
        <v>88211</v>
      </c>
      <c r="K38" s="374"/>
      <c r="L38" s="214"/>
    </row>
    <row r="39" spans="2:12" x14ac:dyDescent="0.2">
      <c r="B39" s="324">
        <v>43367</v>
      </c>
      <c r="C39" s="148"/>
      <c r="D39" s="230" t="s">
        <v>133</v>
      </c>
      <c r="E39" s="215"/>
      <c r="F39" s="216"/>
      <c r="G39" s="99"/>
      <c r="H39" s="100"/>
      <c r="I39" s="129"/>
      <c r="J39" s="111">
        <v>88211</v>
      </c>
      <c r="K39" s="374"/>
      <c r="L39" s="214"/>
    </row>
    <row r="40" spans="2:12" x14ac:dyDescent="0.2">
      <c r="B40" s="355">
        <v>43397</v>
      </c>
      <c r="C40" s="356"/>
      <c r="D40" s="357" t="s">
        <v>134</v>
      </c>
      <c r="E40" s="215"/>
      <c r="F40" s="216"/>
      <c r="G40" s="99"/>
      <c r="H40" s="100"/>
      <c r="I40" s="129"/>
      <c r="J40" s="111">
        <v>88211</v>
      </c>
      <c r="K40" s="374"/>
      <c r="L40" s="214"/>
    </row>
    <row r="41" spans="2:12" x14ac:dyDescent="0.2">
      <c r="B41" s="324">
        <v>43427</v>
      </c>
      <c r="C41" s="148"/>
      <c r="D41" s="230" t="s">
        <v>135</v>
      </c>
      <c r="E41" s="215"/>
      <c r="F41" s="216"/>
      <c r="G41" s="99"/>
      <c r="H41" s="100"/>
      <c r="I41" s="129"/>
      <c r="J41" s="111">
        <v>88211</v>
      </c>
      <c r="K41" s="374"/>
      <c r="L41" s="214"/>
    </row>
    <row r="42" spans="2:12" x14ac:dyDescent="0.2">
      <c r="B42" s="406">
        <v>43440</v>
      </c>
      <c r="C42" s="407"/>
      <c r="D42" s="409" t="s">
        <v>305</v>
      </c>
      <c r="E42" s="215"/>
      <c r="F42" s="216"/>
      <c r="G42" s="99"/>
      <c r="H42" s="100">
        <v>48366</v>
      </c>
      <c r="I42" s="129"/>
      <c r="J42" s="111"/>
      <c r="K42" s="374"/>
      <c r="L42" s="214"/>
    </row>
    <row r="43" spans="2:12" x14ac:dyDescent="0.2">
      <c r="B43" s="324"/>
      <c r="C43" s="148"/>
      <c r="D43" s="146" t="s">
        <v>136</v>
      </c>
      <c r="E43" s="215"/>
      <c r="F43" s="216"/>
      <c r="G43" s="99"/>
      <c r="H43" s="100"/>
      <c r="I43" s="129"/>
      <c r="J43" s="111">
        <v>88211</v>
      </c>
      <c r="K43" s="374"/>
      <c r="L43" s="214"/>
    </row>
    <row r="44" spans="2:12" x14ac:dyDescent="0.2">
      <c r="B44" s="324"/>
      <c r="C44" s="148"/>
      <c r="D44" s="146"/>
      <c r="E44" s="215"/>
      <c r="F44" s="216"/>
      <c r="G44" s="99"/>
      <c r="H44" s="100"/>
      <c r="I44" s="129"/>
      <c r="J44" s="111"/>
      <c r="K44" s="374"/>
      <c r="L44" s="214"/>
    </row>
    <row r="45" spans="2:12" s="238" customFormat="1" ht="15.75" x14ac:dyDescent="0.25">
      <c r="B45" s="322"/>
      <c r="C45" s="232" t="s">
        <v>28</v>
      </c>
      <c r="D45" s="233" t="s">
        <v>29</v>
      </c>
      <c r="E45" s="234">
        <v>1484050</v>
      </c>
      <c r="F45" s="235">
        <f>SUM(F46:F63)</f>
        <v>0</v>
      </c>
      <c r="G45" s="235">
        <f>SUM(G46:G63)</f>
        <v>0</v>
      </c>
      <c r="H45" s="235">
        <f>SUM(H46:H63)</f>
        <v>693818</v>
      </c>
      <c r="I45" s="236">
        <f>ROUND((E45+F45+G45-H45),1)</f>
        <v>790232</v>
      </c>
      <c r="J45" s="237">
        <f>SUM(J46:J63)</f>
        <v>790232</v>
      </c>
      <c r="K45" s="373">
        <f>I45-J45</f>
        <v>0</v>
      </c>
      <c r="L45" s="395">
        <f>K45</f>
        <v>0</v>
      </c>
    </row>
    <row r="46" spans="2:12" x14ac:dyDescent="0.2">
      <c r="B46" s="323">
        <v>43310</v>
      </c>
      <c r="C46" s="148"/>
      <c r="D46" s="230" t="s">
        <v>125</v>
      </c>
      <c r="E46" s="215"/>
      <c r="F46" s="216"/>
      <c r="G46" s="99"/>
      <c r="H46" s="100"/>
      <c r="I46" s="129"/>
      <c r="J46" s="111">
        <v>114510</v>
      </c>
      <c r="K46" s="374"/>
      <c r="L46" s="214"/>
    </row>
    <row r="47" spans="2:12" x14ac:dyDescent="0.2">
      <c r="B47" s="324"/>
      <c r="C47" s="148"/>
      <c r="D47" s="230" t="s">
        <v>201</v>
      </c>
      <c r="E47" s="215"/>
      <c r="F47" s="216"/>
      <c r="G47" s="99"/>
      <c r="H47" s="100"/>
      <c r="I47" s="129"/>
      <c r="J47" s="111">
        <f>-17142-29176</f>
        <v>-46318</v>
      </c>
      <c r="K47" s="374"/>
      <c r="L47" s="214"/>
    </row>
    <row r="48" spans="2:12" x14ac:dyDescent="0.2">
      <c r="B48" s="324">
        <v>43157</v>
      </c>
      <c r="C48" s="148"/>
      <c r="D48" s="230" t="s">
        <v>126</v>
      </c>
      <c r="E48" s="215"/>
      <c r="F48" s="216"/>
      <c r="G48" s="99"/>
      <c r="H48" s="100"/>
      <c r="I48" s="129"/>
      <c r="J48" s="111">
        <v>120340</v>
      </c>
      <c r="K48" s="374"/>
      <c r="L48" s="214"/>
    </row>
    <row r="49" spans="2:12" x14ac:dyDescent="0.2">
      <c r="B49" s="324">
        <v>43181</v>
      </c>
      <c r="C49" s="148"/>
      <c r="D49" s="230" t="s">
        <v>127</v>
      </c>
      <c r="E49" s="215"/>
      <c r="F49" s="216"/>
      <c r="G49" s="99"/>
      <c r="H49" s="100"/>
      <c r="I49" s="129"/>
      <c r="J49" s="111">
        <v>120340</v>
      </c>
      <c r="K49" s="374"/>
      <c r="L49" s="214"/>
    </row>
    <row r="50" spans="2:12" x14ac:dyDescent="0.2">
      <c r="B50" s="324">
        <v>43215</v>
      </c>
      <c r="C50" s="148"/>
      <c r="D50" s="230" t="s">
        <v>128</v>
      </c>
      <c r="E50" s="215"/>
      <c r="F50" s="216"/>
      <c r="G50" s="99"/>
      <c r="H50" s="100"/>
      <c r="I50" s="129"/>
      <c r="J50" s="111">
        <v>120340</v>
      </c>
      <c r="K50" s="374"/>
      <c r="L50" s="214"/>
    </row>
    <row r="51" spans="2:12" x14ac:dyDescent="0.2">
      <c r="B51" s="323">
        <v>43245</v>
      </c>
      <c r="C51" s="148"/>
      <c r="D51" s="230" t="s">
        <v>129</v>
      </c>
      <c r="E51" s="215"/>
      <c r="F51" s="216"/>
      <c r="G51" s="99"/>
      <c r="H51" s="100"/>
      <c r="I51" s="129"/>
      <c r="J51" s="111">
        <v>60170</v>
      </c>
      <c r="K51" s="374"/>
      <c r="L51" s="214"/>
    </row>
    <row r="52" spans="2:12" x14ac:dyDescent="0.2">
      <c r="B52" s="323">
        <v>43277</v>
      </c>
      <c r="C52" s="148"/>
      <c r="D52" s="230" t="s">
        <v>130</v>
      </c>
      <c r="E52" s="215"/>
      <c r="F52" s="216"/>
      <c r="G52" s="99"/>
      <c r="H52" s="100"/>
      <c r="I52" s="129"/>
      <c r="J52" s="111">
        <v>60170</v>
      </c>
      <c r="K52" s="374"/>
      <c r="L52" s="214"/>
    </row>
    <row r="53" spans="2:12" x14ac:dyDescent="0.2">
      <c r="B53" s="324">
        <v>43305</v>
      </c>
      <c r="C53" s="148"/>
      <c r="D53" s="230" t="s">
        <v>131</v>
      </c>
      <c r="E53" s="215"/>
      <c r="F53" s="216"/>
      <c r="G53" s="99"/>
      <c r="H53" s="100"/>
      <c r="I53" s="129"/>
      <c r="J53" s="103">
        <v>60170</v>
      </c>
      <c r="K53" s="374"/>
      <c r="L53" s="214"/>
    </row>
    <row r="54" spans="2:12" x14ac:dyDescent="0.2">
      <c r="B54" s="324" t="s">
        <v>131</v>
      </c>
      <c r="C54" s="148"/>
      <c r="D54" s="230" t="s">
        <v>252</v>
      </c>
      <c r="E54" s="215"/>
      <c r="F54" s="216"/>
      <c r="G54" s="99"/>
      <c r="H54" s="100"/>
      <c r="I54" s="129"/>
      <c r="J54" s="103">
        <v>-120340</v>
      </c>
      <c r="K54" s="374"/>
      <c r="L54" s="214"/>
    </row>
    <row r="55" spans="2:12" x14ac:dyDescent="0.2">
      <c r="B55" s="323">
        <v>43336</v>
      </c>
      <c r="C55" s="148"/>
      <c r="D55" s="230" t="s">
        <v>132</v>
      </c>
      <c r="E55" s="215"/>
      <c r="F55" s="216"/>
      <c r="G55" s="99"/>
      <c r="H55" s="100"/>
      <c r="I55" s="129"/>
      <c r="J55" s="111">
        <v>60170</v>
      </c>
      <c r="K55" s="374"/>
      <c r="L55" s="214"/>
    </row>
    <row r="56" spans="2:12" x14ac:dyDescent="0.2">
      <c r="B56" s="324">
        <v>43367</v>
      </c>
      <c r="C56" s="148"/>
      <c r="D56" s="230" t="s">
        <v>133</v>
      </c>
      <c r="E56" s="215"/>
      <c r="F56" s="216"/>
      <c r="G56" s="99"/>
      <c r="H56" s="100"/>
      <c r="I56" s="129"/>
      <c r="J56" s="111">
        <v>60170</v>
      </c>
      <c r="K56" s="374"/>
      <c r="L56" s="214"/>
    </row>
    <row r="57" spans="2:12" ht="15" x14ac:dyDescent="0.2">
      <c r="B57" s="324">
        <v>43381</v>
      </c>
      <c r="C57" s="148"/>
      <c r="D57" s="364" t="s">
        <v>275</v>
      </c>
      <c r="E57" s="215"/>
      <c r="F57" s="216"/>
      <c r="G57" s="99"/>
      <c r="H57" s="100">
        <v>543700</v>
      </c>
      <c r="I57" s="129"/>
      <c r="J57" s="111"/>
      <c r="K57" s="374"/>
      <c r="L57" s="214"/>
    </row>
    <row r="58" spans="2:12" x14ac:dyDescent="0.2">
      <c r="B58" s="355">
        <v>43397</v>
      </c>
      <c r="C58" s="356"/>
      <c r="D58" s="357" t="s">
        <v>134</v>
      </c>
      <c r="E58" s="215"/>
      <c r="F58" s="216"/>
      <c r="G58" s="99"/>
      <c r="H58" s="100"/>
      <c r="I58" s="129"/>
      <c r="J58" s="111">
        <v>60170</v>
      </c>
      <c r="K58" s="374"/>
      <c r="L58" s="214"/>
    </row>
    <row r="59" spans="2:12" x14ac:dyDescent="0.2">
      <c r="B59" s="324">
        <v>43427</v>
      </c>
      <c r="C59" s="148"/>
      <c r="D59" s="230" t="s">
        <v>135</v>
      </c>
      <c r="E59" s="215"/>
      <c r="F59" s="216"/>
      <c r="G59" s="99"/>
      <c r="H59" s="100"/>
      <c r="I59" s="129"/>
      <c r="J59" s="111">
        <v>60170</v>
      </c>
      <c r="K59" s="374"/>
      <c r="L59" s="214"/>
    </row>
    <row r="60" spans="2:12" x14ac:dyDescent="0.2">
      <c r="B60" s="406">
        <v>43440</v>
      </c>
      <c r="C60" s="407"/>
      <c r="D60" s="409" t="s">
        <v>305</v>
      </c>
      <c r="E60" s="402"/>
      <c r="F60" s="216"/>
      <c r="G60" s="99"/>
      <c r="H60" s="100">
        <v>150118</v>
      </c>
      <c r="I60" s="129"/>
      <c r="J60" s="111"/>
      <c r="K60" s="374"/>
      <c r="L60" s="214"/>
    </row>
    <row r="61" spans="2:12" x14ac:dyDescent="0.2">
      <c r="B61" s="355"/>
      <c r="C61" s="214"/>
      <c r="D61" s="214" t="s">
        <v>136</v>
      </c>
      <c r="F61" s="216"/>
      <c r="G61" s="99"/>
      <c r="H61" s="100"/>
      <c r="I61" s="129"/>
      <c r="J61" s="111">
        <v>60170</v>
      </c>
      <c r="K61" s="374"/>
      <c r="L61" s="214"/>
    </row>
    <row r="62" spans="2:12" x14ac:dyDescent="0.2">
      <c r="B62" s="355"/>
      <c r="C62" s="356"/>
      <c r="D62" s="357"/>
      <c r="E62" s="215"/>
      <c r="F62" s="216"/>
      <c r="G62" s="99"/>
      <c r="H62" s="100"/>
      <c r="I62" s="129"/>
      <c r="J62" s="111"/>
      <c r="K62" s="374"/>
      <c r="L62" s="214"/>
    </row>
    <row r="63" spans="2:12" x14ac:dyDescent="0.2">
      <c r="B63" s="324"/>
      <c r="C63" s="148"/>
      <c r="D63" s="146"/>
      <c r="E63" s="215"/>
      <c r="F63" s="216"/>
      <c r="G63" s="99"/>
      <c r="H63" s="100"/>
      <c r="I63" s="129"/>
      <c r="J63" s="111"/>
      <c r="K63" s="374"/>
      <c r="L63" s="214"/>
    </row>
    <row r="64" spans="2:12" s="238" customFormat="1" ht="15.75" x14ac:dyDescent="0.25">
      <c r="B64" s="322"/>
      <c r="C64" s="232" t="s">
        <v>30</v>
      </c>
      <c r="D64" s="233" t="s">
        <v>31</v>
      </c>
      <c r="E64" s="234">
        <v>15036740</v>
      </c>
      <c r="F64" s="235">
        <f>SUM(F65:F79)</f>
        <v>0</v>
      </c>
      <c r="G64" s="235">
        <f>SUM(G65:G79)</f>
        <v>203217</v>
      </c>
      <c r="H64" s="235">
        <f>SUM(H65:H79)</f>
        <v>0</v>
      </c>
      <c r="I64" s="236">
        <f>ROUND((E64+F64+G64-H64),1)</f>
        <v>15239957</v>
      </c>
      <c r="J64" s="237">
        <f>SUM(J65:J79)</f>
        <v>15239957</v>
      </c>
      <c r="K64" s="373">
        <f>I64-J64</f>
        <v>0</v>
      </c>
      <c r="L64" s="396"/>
    </row>
    <row r="65" spans="1:12" x14ac:dyDescent="0.2">
      <c r="B65" s="324">
        <v>43157</v>
      </c>
      <c r="C65" s="148"/>
      <c r="D65" s="146" t="s">
        <v>202</v>
      </c>
      <c r="E65" s="215"/>
      <c r="F65" s="216"/>
      <c r="G65" s="99"/>
      <c r="H65" s="100"/>
      <c r="I65" s="129"/>
      <c r="J65" s="111">
        <v>1001468</v>
      </c>
      <c r="K65" s="374"/>
      <c r="L65" s="214"/>
    </row>
    <row r="66" spans="1:12" x14ac:dyDescent="0.2">
      <c r="B66" s="324">
        <v>43157</v>
      </c>
      <c r="C66" s="148"/>
      <c r="D66" s="146" t="s">
        <v>197</v>
      </c>
      <c r="E66" s="215"/>
      <c r="F66" s="216"/>
      <c r="G66" s="99"/>
      <c r="H66" s="100"/>
      <c r="I66" s="129"/>
      <c r="J66" s="111">
        <v>906747</v>
      </c>
      <c r="K66" s="374"/>
      <c r="L66" s="214"/>
    </row>
    <row r="67" spans="1:12" x14ac:dyDescent="0.2">
      <c r="B67" s="324">
        <v>43157</v>
      </c>
      <c r="C67" s="148"/>
      <c r="D67" s="146" t="s">
        <v>187</v>
      </c>
      <c r="E67" s="215"/>
      <c r="F67" s="216"/>
      <c r="G67" s="99"/>
      <c r="H67" s="100"/>
      <c r="I67" s="129"/>
      <c r="J67" s="111">
        <v>797258</v>
      </c>
      <c r="K67" s="374"/>
      <c r="L67" s="214"/>
    </row>
    <row r="68" spans="1:12" x14ac:dyDescent="0.2">
      <c r="B68" s="324">
        <v>43215</v>
      </c>
      <c r="C68" s="148"/>
      <c r="D68" s="146" t="s">
        <v>226</v>
      </c>
      <c r="E68" s="215"/>
      <c r="F68" s="216"/>
      <c r="G68" s="99"/>
      <c r="H68" s="100"/>
      <c r="I68" s="129"/>
      <c r="J68" s="111">
        <v>842272</v>
      </c>
      <c r="K68" s="374"/>
      <c r="L68" s="214"/>
    </row>
    <row r="69" spans="1:12" x14ac:dyDescent="0.2">
      <c r="B69" s="324">
        <v>43245</v>
      </c>
      <c r="C69" s="148"/>
      <c r="D69" s="146" t="s">
        <v>196</v>
      </c>
      <c r="E69" s="215"/>
      <c r="F69" s="216"/>
      <c r="G69" s="99"/>
      <c r="H69" s="100"/>
      <c r="I69" s="129"/>
      <c r="J69" s="111">
        <v>1069467</v>
      </c>
      <c r="K69" s="374"/>
      <c r="L69" s="214"/>
    </row>
    <row r="70" spans="1:12" x14ac:dyDescent="0.2">
      <c r="B70" s="324">
        <v>43270</v>
      </c>
      <c r="C70" s="148"/>
      <c r="D70" s="146" t="s">
        <v>160</v>
      </c>
      <c r="E70" s="215"/>
      <c r="F70" s="216"/>
      <c r="G70" s="99"/>
      <c r="H70" s="100"/>
      <c r="I70" s="129"/>
      <c r="J70" s="111">
        <v>1621894</v>
      </c>
      <c r="K70" s="374"/>
      <c r="L70" s="214"/>
    </row>
    <row r="71" spans="1:12" x14ac:dyDescent="0.2">
      <c r="B71" s="323">
        <v>43277</v>
      </c>
      <c r="C71" s="148"/>
      <c r="D71" s="230" t="s">
        <v>241</v>
      </c>
      <c r="E71" s="215"/>
      <c r="F71" s="216"/>
      <c r="G71" s="99"/>
      <c r="H71" s="100"/>
      <c r="I71" s="129"/>
      <c r="J71" s="111">
        <v>485358</v>
      </c>
      <c r="K71" s="374"/>
      <c r="L71" s="214"/>
    </row>
    <row r="72" spans="1:12" x14ac:dyDescent="0.2">
      <c r="B72" s="324">
        <v>43285</v>
      </c>
      <c r="C72" s="148"/>
      <c r="D72" s="146" t="s">
        <v>243</v>
      </c>
      <c r="E72" s="215"/>
      <c r="F72" s="216"/>
      <c r="G72" s="99"/>
      <c r="H72" s="100"/>
      <c r="I72" s="129"/>
      <c r="J72" s="111">
        <v>1106492</v>
      </c>
      <c r="K72" s="374"/>
      <c r="L72" s="214"/>
    </row>
    <row r="73" spans="1:12" x14ac:dyDescent="0.2">
      <c r="A73" s="103">
        <v>19</v>
      </c>
      <c r="B73" s="324">
        <v>43286</v>
      </c>
      <c r="C73" s="148"/>
      <c r="D73" s="146" t="s">
        <v>246</v>
      </c>
      <c r="E73" s="215"/>
      <c r="F73" s="216"/>
      <c r="G73" s="99"/>
      <c r="H73" s="100"/>
      <c r="I73" s="129"/>
      <c r="J73" s="111">
        <v>191851</v>
      </c>
      <c r="K73" s="374"/>
      <c r="L73" s="214"/>
    </row>
    <row r="74" spans="1:12" x14ac:dyDescent="0.2">
      <c r="B74" s="324" t="s">
        <v>258</v>
      </c>
      <c r="C74" s="148"/>
      <c r="D74" s="146" t="s">
        <v>256</v>
      </c>
      <c r="E74" s="215"/>
      <c r="F74" s="216"/>
      <c r="G74" s="99"/>
      <c r="H74" s="100"/>
      <c r="I74" s="129"/>
      <c r="J74" s="343">
        <v>167462</v>
      </c>
      <c r="K74" s="374"/>
      <c r="L74" s="214"/>
    </row>
    <row r="75" spans="1:12" x14ac:dyDescent="0.2">
      <c r="B75" s="324">
        <v>43336</v>
      </c>
      <c r="C75" s="148"/>
      <c r="D75" s="146" t="s">
        <v>198</v>
      </c>
      <c r="E75" s="215"/>
      <c r="F75" s="216"/>
      <c r="G75" s="99"/>
      <c r="H75" s="100"/>
      <c r="I75" s="129"/>
      <c r="J75" s="224">
        <v>1621894</v>
      </c>
      <c r="K75" s="374"/>
      <c r="L75" s="214"/>
    </row>
    <row r="76" spans="1:12" x14ac:dyDescent="0.2">
      <c r="B76" s="324">
        <v>43336</v>
      </c>
      <c r="C76" s="148"/>
      <c r="D76" s="146" t="s">
        <v>235</v>
      </c>
      <c r="E76" s="215"/>
      <c r="F76" s="216"/>
      <c r="G76" s="99"/>
      <c r="H76" s="100"/>
      <c r="I76" s="129"/>
      <c r="J76" s="224">
        <v>1621894</v>
      </c>
      <c r="K76" s="374"/>
      <c r="L76" s="214"/>
    </row>
    <row r="77" spans="1:12" x14ac:dyDescent="0.2">
      <c r="B77" s="324">
        <v>43417</v>
      </c>
      <c r="C77" s="148"/>
      <c r="D77" s="146" t="s">
        <v>280</v>
      </c>
      <c r="E77" s="215"/>
      <c r="F77" s="216"/>
      <c r="G77" s="99">
        <f>3805900-3602683</f>
        <v>203217</v>
      </c>
      <c r="H77" s="100"/>
      <c r="I77" s="129"/>
      <c r="J77" s="224"/>
      <c r="K77" s="374"/>
      <c r="L77" s="214"/>
    </row>
    <row r="78" spans="1:12" x14ac:dyDescent="0.2">
      <c r="B78" s="324">
        <v>43417</v>
      </c>
      <c r="C78" s="148"/>
      <c r="D78" s="146" t="s">
        <v>158</v>
      </c>
      <c r="E78" s="215"/>
      <c r="F78" s="216"/>
      <c r="G78" s="99"/>
      <c r="H78" s="100"/>
      <c r="I78" s="129"/>
      <c r="J78" s="111">
        <v>3805900</v>
      </c>
      <c r="K78" s="374"/>
      <c r="L78" s="214"/>
    </row>
    <row r="79" spans="1:12" x14ac:dyDescent="0.2">
      <c r="B79" s="324"/>
      <c r="C79" s="148"/>
      <c r="D79" s="146"/>
      <c r="E79" s="215"/>
      <c r="F79" s="216"/>
      <c r="G79" s="99"/>
      <c r="H79" s="100"/>
      <c r="I79" s="129"/>
      <c r="J79" s="111"/>
      <c r="K79" s="374"/>
      <c r="L79" s="214"/>
    </row>
    <row r="80" spans="1:12" s="238" customFormat="1" ht="15.75" x14ac:dyDescent="0.25">
      <c r="B80" s="322"/>
      <c r="C80" s="232" t="s">
        <v>32</v>
      </c>
      <c r="D80" s="233" t="s">
        <v>33</v>
      </c>
      <c r="E80" s="234">
        <v>22003952</v>
      </c>
      <c r="F80" s="235">
        <f>SUM(F81:F87)</f>
        <v>0</v>
      </c>
      <c r="G80" s="235">
        <f>SUM(G81:G87)</f>
        <v>0</v>
      </c>
      <c r="H80" s="235">
        <f>SUM(H81:H87)</f>
        <v>490742</v>
      </c>
      <c r="I80" s="236">
        <f>ROUND((E80+F80+G80-H80),1)</f>
        <v>21513210</v>
      </c>
      <c r="J80" s="237">
        <f>SUM(J81:J87)</f>
        <v>21513210</v>
      </c>
      <c r="K80" s="373">
        <f>I80-J80</f>
        <v>0</v>
      </c>
      <c r="L80" s="395">
        <f>K80</f>
        <v>0</v>
      </c>
    </row>
    <row r="81" spans="2:12" x14ac:dyDescent="0.2">
      <c r="B81" s="324">
        <v>43285</v>
      </c>
      <c r="C81" s="148"/>
      <c r="D81" s="146" t="s">
        <v>242</v>
      </c>
      <c r="E81" s="215"/>
      <c r="F81" s="216"/>
      <c r="G81" s="101"/>
      <c r="H81" s="100"/>
      <c r="I81" s="129"/>
      <c r="J81" s="111">
        <v>20378065</v>
      </c>
      <c r="K81" s="374"/>
      <c r="L81" s="214"/>
    </row>
    <row r="82" spans="2:12" x14ac:dyDescent="0.2">
      <c r="B82" s="324">
        <v>43286</v>
      </c>
      <c r="C82" s="148"/>
      <c r="D82" s="146" t="s">
        <v>246</v>
      </c>
      <c r="E82" s="215"/>
      <c r="F82" s="216"/>
      <c r="G82" s="101"/>
      <c r="H82" s="100"/>
      <c r="I82" s="129"/>
      <c r="J82" s="111">
        <v>1135145</v>
      </c>
      <c r="K82" s="374"/>
      <c r="L82" s="214"/>
    </row>
    <row r="83" spans="2:12" x14ac:dyDescent="0.2">
      <c r="B83" s="406">
        <v>43440</v>
      </c>
      <c r="C83" s="407"/>
      <c r="D83" s="409" t="s">
        <v>305</v>
      </c>
      <c r="E83" s="215"/>
      <c r="F83" s="216"/>
      <c r="G83" s="101"/>
      <c r="H83" s="100">
        <v>490742</v>
      </c>
      <c r="I83" s="129"/>
      <c r="J83" s="111"/>
      <c r="K83" s="374"/>
      <c r="L83" s="214"/>
    </row>
    <row r="84" spans="2:12" x14ac:dyDescent="0.2">
      <c r="B84" s="324"/>
      <c r="C84" s="148"/>
      <c r="D84" s="146"/>
      <c r="E84" s="215"/>
      <c r="F84" s="216"/>
      <c r="G84" s="101"/>
      <c r="H84" s="100"/>
      <c r="I84" s="129"/>
      <c r="J84" s="111"/>
      <c r="K84" s="374"/>
      <c r="L84" s="214"/>
    </row>
    <row r="85" spans="2:12" x14ac:dyDescent="0.2">
      <c r="B85" s="324"/>
      <c r="C85" s="148"/>
      <c r="D85" s="146"/>
      <c r="E85" s="215"/>
      <c r="F85" s="216"/>
      <c r="G85" s="101"/>
      <c r="H85" s="100"/>
      <c r="I85" s="129"/>
      <c r="J85" s="111"/>
      <c r="K85" s="374"/>
      <c r="L85" s="214"/>
    </row>
    <row r="86" spans="2:12" x14ac:dyDescent="0.2">
      <c r="B86" s="324"/>
      <c r="C86" s="148"/>
      <c r="D86" s="146"/>
      <c r="E86" s="215"/>
      <c r="F86" s="216"/>
      <c r="G86" s="101"/>
      <c r="H86" s="100"/>
      <c r="I86" s="129"/>
      <c r="J86" s="111"/>
      <c r="K86" s="374"/>
      <c r="L86" s="214"/>
    </row>
    <row r="87" spans="2:12" x14ac:dyDescent="0.2">
      <c r="B87" s="324"/>
      <c r="C87" s="148"/>
      <c r="D87" s="146"/>
      <c r="E87" s="215"/>
      <c r="F87" s="216"/>
      <c r="G87" s="101"/>
      <c r="H87" s="100"/>
      <c r="I87" s="129"/>
      <c r="J87" s="111"/>
      <c r="K87" s="374"/>
      <c r="L87" s="214"/>
    </row>
    <row r="88" spans="2:12" s="238" customFormat="1" ht="15.75" x14ac:dyDescent="0.25">
      <c r="B88" s="322"/>
      <c r="C88" s="232" t="s">
        <v>34</v>
      </c>
      <c r="D88" s="233" t="s">
        <v>35</v>
      </c>
      <c r="E88" s="234">
        <v>22920783</v>
      </c>
      <c r="F88" s="235">
        <f>SUM(F89:F105)</f>
        <v>1000000</v>
      </c>
      <c r="G88" s="235">
        <f>SUM(G89:G105)</f>
        <v>0</v>
      </c>
      <c r="H88" s="235">
        <f>SUM(H89:H105)</f>
        <v>1094277</v>
      </c>
      <c r="I88" s="236">
        <f>ROUND((E88+F88+G88-H88),1)</f>
        <v>22826506</v>
      </c>
      <c r="J88" s="237">
        <f>SUM(J89:J105)</f>
        <v>22826506</v>
      </c>
      <c r="K88" s="373">
        <f>I88-J88</f>
        <v>0</v>
      </c>
      <c r="L88" s="395">
        <f>K88</f>
        <v>0</v>
      </c>
    </row>
    <row r="89" spans="2:12" x14ac:dyDescent="0.2">
      <c r="B89" s="324">
        <v>43118</v>
      </c>
      <c r="C89" s="148"/>
      <c r="D89" s="146" t="s">
        <v>158</v>
      </c>
      <c r="E89" s="215"/>
      <c r="F89" s="216"/>
      <c r="G89" s="99"/>
      <c r="H89" s="133"/>
      <c r="I89" s="129"/>
      <c r="J89" s="111">
        <v>5543228</v>
      </c>
      <c r="K89" s="374"/>
      <c r="L89" s="214"/>
    </row>
    <row r="90" spans="2:12" x14ac:dyDescent="0.2">
      <c r="B90" s="324">
        <v>43194</v>
      </c>
      <c r="C90" s="148">
        <v>45</v>
      </c>
      <c r="D90" s="146" t="s">
        <v>232</v>
      </c>
      <c r="E90" s="215"/>
      <c r="F90" s="216">
        <v>1000000</v>
      </c>
      <c r="G90" s="99"/>
      <c r="H90" s="133"/>
      <c r="I90" s="129"/>
      <c r="J90" s="111"/>
      <c r="K90" s="374"/>
      <c r="L90" s="214"/>
    </row>
    <row r="91" spans="2:12" x14ac:dyDescent="0.2">
      <c r="B91" s="324">
        <v>43266</v>
      </c>
      <c r="C91" s="148"/>
      <c r="D91" s="146" t="s">
        <v>226</v>
      </c>
      <c r="E91" s="215"/>
      <c r="F91" s="216"/>
      <c r="G91" s="99"/>
      <c r="H91" s="133"/>
      <c r="I91" s="129"/>
      <c r="J91" s="111">
        <v>1283601</v>
      </c>
      <c r="K91" s="374"/>
      <c r="L91" s="214"/>
    </row>
    <row r="92" spans="2:12" x14ac:dyDescent="0.2">
      <c r="B92" s="324">
        <v>43273</v>
      </c>
      <c r="C92" s="148"/>
      <c r="D92" s="146" t="s">
        <v>187</v>
      </c>
      <c r="E92" s="215"/>
      <c r="F92" s="216"/>
      <c r="G92" s="99"/>
      <c r="H92" s="133"/>
      <c r="I92" s="129"/>
      <c r="J92" s="111">
        <v>911686</v>
      </c>
      <c r="K92" s="374"/>
      <c r="L92" s="214"/>
    </row>
    <row r="93" spans="2:12" x14ac:dyDescent="0.2">
      <c r="B93" s="324">
        <v>43286</v>
      </c>
      <c r="C93" s="148"/>
      <c r="D93" s="146" t="s">
        <v>226</v>
      </c>
      <c r="E93" s="215"/>
      <c r="F93" s="216"/>
      <c r="G93" s="99"/>
      <c r="H93" s="133"/>
      <c r="I93" s="129"/>
      <c r="J93" s="111">
        <v>293819</v>
      </c>
      <c r="K93" s="374"/>
      <c r="L93" s="214"/>
    </row>
    <row r="94" spans="2:12" x14ac:dyDescent="0.2">
      <c r="B94" s="324" t="s">
        <v>131</v>
      </c>
      <c r="C94" s="148"/>
      <c r="D94" s="146" t="s">
        <v>252</v>
      </c>
      <c r="E94" s="215"/>
      <c r="F94" s="216"/>
      <c r="G94" s="99"/>
      <c r="H94" s="133"/>
      <c r="I94" s="129"/>
      <c r="J94" s="343">
        <v>285476</v>
      </c>
      <c r="K94" s="374"/>
      <c r="L94" s="214"/>
    </row>
    <row r="95" spans="2:12" x14ac:dyDescent="0.2">
      <c r="B95" s="324">
        <v>43340</v>
      </c>
      <c r="C95" s="148"/>
      <c r="D95" s="146" t="s">
        <v>241</v>
      </c>
      <c r="E95" s="215"/>
      <c r="F95" s="216"/>
      <c r="G95" s="99"/>
      <c r="H95" s="133"/>
      <c r="I95" s="129"/>
      <c r="J95" s="111">
        <v>603930</v>
      </c>
      <c r="K95" s="374"/>
      <c r="L95" s="214"/>
    </row>
    <row r="96" spans="2:12" x14ac:dyDescent="0.2">
      <c r="B96" s="324">
        <v>43403</v>
      </c>
      <c r="C96" s="148"/>
      <c r="D96" s="146" t="s">
        <v>235</v>
      </c>
      <c r="E96" s="215"/>
      <c r="F96" s="216"/>
      <c r="G96" s="99"/>
      <c r="H96" s="133"/>
      <c r="I96" s="129"/>
      <c r="J96" s="111">
        <v>2483749</v>
      </c>
      <c r="K96" s="374"/>
      <c r="L96" s="214"/>
    </row>
    <row r="97" spans="2:12" x14ac:dyDescent="0.2">
      <c r="B97" s="324">
        <v>43403</v>
      </c>
      <c r="C97" s="148"/>
      <c r="D97" s="146" t="s">
        <v>160</v>
      </c>
      <c r="E97" s="215"/>
      <c r="F97" s="216"/>
      <c r="G97" s="99"/>
      <c r="H97" s="133"/>
      <c r="I97" s="129"/>
      <c r="J97" s="111">
        <v>2483928</v>
      </c>
      <c r="K97" s="374"/>
      <c r="L97" s="214"/>
    </row>
    <row r="98" spans="2:12" x14ac:dyDescent="0.2">
      <c r="B98" s="324">
        <v>43433</v>
      </c>
      <c r="C98" s="148"/>
      <c r="D98" s="146" t="s">
        <v>198</v>
      </c>
      <c r="E98" s="215"/>
      <c r="F98" s="216"/>
      <c r="G98" s="99"/>
      <c r="H98" s="133"/>
      <c r="I98" s="129"/>
      <c r="J98" s="111">
        <v>2483749</v>
      </c>
      <c r="K98" s="374"/>
      <c r="L98" s="214"/>
    </row>
    <row r="99" spans="2:12" x14ac:dyDescent="0.2">
      <c r="B99" s="406">
        <v>43440</v>
      </c>
      <c r="C99" s="407"/>
      <c r="D99" s="408" t="s">
        <v>306</v>
      </c>
      <c r="E99" s="215"/>
      <c r="F99" s="216"/>
      <c r="G99" s="99"/>
      <c r="H99" s="133">
        <v>1094277</v>
      </c>
      <c r="I99" s="129"/>
      <c r="J99" s="111"/>
      <c r="K99" s="374"/>
      <c r="L99" s="214"/>
    </row>
    <row r="100" spans="2:12" x14ac:dyDescent="0.2">
      <c r="B100" s="324">
        <v>43441</v>
      </c>
      <c r="C100" s="148"/>
      <c r="D100" s="146" t="s">
        <v>195</v>
      </c>
      <c r="E100" s="215"/>
      <c r="F100" s="216"/>
      <c r="G100" s="99"/>
      <c r="H100" s="133"/>
      <c r="I100" s="129"/>
      <c r="J100" s="111">
        <v>1637887</v>
      </c>
      <c r="K100" s="374"/>
      <c r="L100" s="214"/>
    </row>
    <row r="101" spans="2:12" x14ac:dyDescent="0.2">
      <c r="B101" s="324"/>
      <c r="C101" s="148"/>
      <c r="D101" s="146" t="s">
        <v>243</v>
      </c>
      <c r="E101" s="215"/>
      <c r="F101" s="216"/>
      <c r="G101" s="99"/>
      <c r="H101" s="133"/>
      <c r="I101" s="129"/>
      <c r="J101" s="111">
        <v>1694591</v>
      </c>
      <c r="K101" s="374"/>
      <c r="L101" s="214"/>
    </row>
    <row r="102" spans="2:12" x14ac:dyDescent="0.2">
      <c r="B102" s="324"/>
      <c r="C102" s="148"/>
      <c r="D102" s="146" t="s">
        <v>197</v>
      </c>
      <c r="E102" s="215"/>
      <c r="F102" s="216"/>
      <c r="G102" s="99"/>
      <c r="H102" s="133"/>
      <c r="I102" s="129"/>
      <c r="J102" s="111">
        <v>1482975</v>
      </c>
      <c r="K102" s="374"/>
      <c r="L102" s="214"/>
    </row>
    <row r="103" spans="2:12" x14ac:dyDescent="0.2">
      <c r="B103" s="324"/>
      <c r="C103" s="148"/>
      <c r="D103" s="146" t="s">
        <v>196</v>
      </c>
      <c r="E103" s="215"/>
      <c r="F103" s="216"/>
      <c r="G103" s="99"/>
      <c r="H103" s="133"/>
      <c r="I103" s="129"/>
      <c r="J103" s="111">
        <v>1637887</v>
      </c>
      <c r="K103" s="374"/>
      <c r="L103" s="214"/>
    </row>
    <row r="104" spans="2:12" x14ac:dyDescent="0.2">
      <c r="B104" s="324"/>
      <c r="C104" s="148"/>
      <c r="D104" s="146"/>
      <c r="E104" s="215"/>
      <c r="F104" s="216"/>
      <c r="G104" s="99"/>
      <c r="H104" s="133"/>
      <c r="I104" s="129"/>
      <c r="J104" s="111"/>
      <c r="K104" s="374"/>
      <c r="L104" s="214"/>
    </row>
    <row r="105" spans="2:12" x14ac:dyDescent="0.2">
      <c r="B105" s="324"/>
      <c r="C105" s="148"/>
      <c r="D105" s="146"/>
      <c r="E105" s="215"/>
      <c r="F105" s="216"/>
      <c r="G105" s="99"/>
      <c r="H105" s="133"/>
      <c r="I105" s="129"/>
      <c r="J105" s="111"/>
      <c r="K105" s="374"/>
      <c r="L105" s="214"/>
    </row>
    <row r="106" spans="2:12" ht="15.75" x14ac:dyDescent="0.25">
      <c r="B106" s="322"/>
      <c r="C106" s="232">
        <v>2020110109</v>
      </c>
      <c r="D106" s="233" t="s">
        <v>36</v>
      </c>
      <c r="E106" s="234">
        <v>37123611</v>
      </c>
      <c r="F106" s="235">
        <f>SUM(F107:F121)</f>
        <v>2817477</v>
      </c>
      <c r="G106" s="235">
        <f>SUM(G107:G121)</f>
        <v>0</v>
      </c>
      <c r="H106" s="235">
        <f>SUM(H107:H121)</f>
        <v>1150683</v>
      </c>
      <c r="I106" s="236">
        <f>ROUND((E106+F106+G106-H106),1)</f>
        <v>38790405</v>
      </c>
      <c r="J106" s="235">
        <f>SUM(J107:J121)</f>
        <v>38790405</v>
      </c>
      <c r="K106" s="373">
        <f>I106-J106</f>
        <v>0</v>
      </c>
      <c r="L106" s="394">
        <f>K106</f>
        <v>0</v>
      </c>
    </row>
    <row r="107" spans="2:12" x14ac:dyDescent="0.2">
      <c r="B107" s="324">
        <v>43194</v>
      </c>
      <c r="C107" s="148">
        <v>45</v>
      </c>
      <c r="D107" s="146" t="s">
        <v>233</v>
      </c>
      <c r="E107" s="215"/>
      <c r="F107" s="216">
        <v>2817477</v>
      </c>
      <c r="G107" s="99"/>
      <c r="H107" s="133"/>
      <c r="I107" s="129"/>
      <c r="J107" s="111"/>
      <c r="K107" s="374"/>
      <c r="L107" s="214"/>
    </row>
    <row r="108" spans="2:12" x14ac:dyDescent="0.2">
      <c r="B108" s="324">
        <v>43273</v>
      </c>
      <c r="C108" s="148"/>
      <c r="D108" s="146" t="s">
        <v>158</v>
      </c>
      <c r="E108" s="215"/>
      <c r="F108" s="216"/>
      <c r="G108" s="99"/>
      <c r="H108" s="133"/>
      <c r="I108" s="129"/>
      <c r="J108" s="111">
        <v>9245593</v>
      </c>
      <c r="K108" s="374"/>
      <c r="L108" s="214"/>
    </row>
    <row r="109" spans="2:12" x14ac:dyDescent="0.2">
      <c r="B109" s="324">
        <v>43273</v>
      </c>
      <c r="C109" s="148"/>
      <c r="D109" s="146" t="s">
        <v>187</v>
      </c>
      <c r="E109" s="215"/>
      <c r="F109" s="216"/>
      <c r="G109" s="99"/>
      <c r="H109" s="133"/>
      <c r="I109" s="129"/>
      <c r="J109" s="111">
        <v>1450659</v>
      </c>
      <c r="K109" s="374"/>
      <c r="L109" s="214"/>
    </row>
    <row r="110" spans="2:12" x14ac:dyDescent="0.2">
      <c r="B110" s="324">
        <v>43286</v>
      </c>
      <c r="C110" s="148"/>
      <c r="D110" s="146" t="s">
        <v>226</v>
      </c>
      <c r="E110" s="215"/>
      <c r="F110" s="216"/>
      <c r="G110" s="99"/>
      <c r="H110" s="133"/>
      <c r="I110" s="129"/>
      <c r="J110" s="111">
        <v>2554694</v>
      </c>
      <c r="K110" s="374"/>
      <c r="L110" s="214"/>
    </row>
    <row r="111" spans="2:12" x14ac:dyDescent="0.2">
      <c r="B111" s="332" t="s">
        <v>131</v>
      </c>
      <c r="D111" s="103" t="s">
        <v>252</v>
      </c>
      <c r="E111" s="215"/>
      <c r="F111" s="216"/>
      <c r="G111" s="99"/>
      <c r="H111" s="133"/>
      <c r="I111" s="129"/>
      <c r="J111" s="343">
        <v>1</v>
      </c>
      <c r="K111" s="374"/>
      <c r="L111" s="214"/>
    </row>
    <row r="112" spans="2:12" x14ac:dyDescent="0.2">
      <c r="B112" s="324">
        <v>43340</v>
      </c>
      <c r="C112" s="148"/>
      <c r="D112" s="146" t="s">
        <v>241</v>
      </c>
      <c r="E112" s="215"/>
      <c r="F112" s="216"/>
      <c r="G112" s="99"/>
      <c r="H112" s="133"/>
      <c r="I112" s="129"/>
      <c r="J112" s="111">
        <v>910214</v>
      </c>
      <c r="K112" s="374"/>
      <c r="L112" s="214"/>
    </row>
    <row r="113" spans="2:12" x14ac:dyDescent="0.2">
      <c r="B113" s="324">
        <v>43403</v>
      </c>
      <c r="C113" s="148"/>
      <c r="D113" s="146" t="s">
        <v>235</v>
      </c>
      <c r="E113" s="215"/>
      <c r="F113" s="216"/>
      <c r="G113" s="99"/>
      <c r="H113" s="133"/>
      <c r="I113" s="129"/>
      <c r="J113" s="111">
        <v>4448514</v>
      </c>
      <c r="K113" s="374"/>
      <c r="L113" s="214"/>
    </row>
    <row r="114" spans="2:12" x14ac:dyDescent="0.2">
      <c r="B114" s="324">
        <v>43403</v>
      </c>
      <c r="C114" s="148"/>
      <c r="D114" s="146" t="s">
        <v>160</v>
      </c>
      <c r="E114" s="215"/>
      <c r="F114" s="216"/>
      <c r="G114" s="99"/>
      <c r="H114" s="133"/>
      <c r="I114" s="129"/>
      <c r="J114" s="111">
        <v>4448812</v>
      </c>
      <c r="K114" s="374"/>
      <c r="L114" s="214"/>
    </row>
    <row r="115" spans="2:12" x14ac:dyDescent="0.2">
      <c r="B115" s="324">
        <v>43437</v>
      </c>
      <c r="C115" s="148"/>
      <c r="D115" s="146" t="s">
        <v>198</v>
      </c>
      <c r="E115" s="215"/>
      <c r="F115" s="216"/>
      <c r="G115" s="99"/>
      <c r="H115" s="133"/>
      <c r="I115" s="129"/>
      <c r="J115" s="111">
        <v>4282931</v>
      </c>
      <c r="K115" s="374"/>
      <c r="L115" s="214"/>
    </row>
    <row r="116" spans="2:12" x14ac:dyDescent="0.2">
      <c r="B116" s="406">
        <v>43440</v>
      </c>
      <c r="C116" s="407"/>
      <c r="D116" s="408" t="s">
        <v>306</v>
      </c>
      <c r="E116" s="215"/>
      <c r="F116" s="216"/>
      <c r="G116" s="99"/>
      <c r="H116" s="133">
        <v>1150683</v>
      </c>
      <c r="I116" s="129"/>
      <c r="J116" s="111"/>
      <c r="K116" s="374"/>
      <c r="L116" s="214"/>
    </row>
    <row r="117" spans="2:12" x14ac:dyDescent="0.2">
      <c r="B117" s="324">
        <v>43441</v>
      </c>
      <c r="C117" s="148"/>
      <c r="D117" s="146" t="s">
        <v>195</v>
      </c>
      <c r="E117" s="215"/>
      <c r="F117" s="216"/>
      <c r="G117" s="99"/>
      <c r="H117" s="133"/>
      <c r="I117" s="129"/>
      <c r="J117" s="111">
        <v>2824327</v>
      </c>
      <c r="K117" s="374"/>
      <c r="L117" s="214"/>
    </row>
    <row r="118" spans="2:12" x14ac:dyDescent="0.2">
      <c r="B118" s="324"/>
      <c r="C118" s="148"/>
      <c r="D118" s="146" t="s">
        <v>243</v>
      </c>
      <c r="E118" s="215"/>
      <c r="F118" s="216"/>
      <c r="G118" s="99"/>
      <c r="H118" s="133"/>
      <c r="I118" s="129"/>
      <c r="J118" s="111">
        <v>3035079</v>
      </c>
      <c r="K118" s="374"/>
      <c r="L118" s="214"/>
    </row>
    <row r="119" spans="2:12" x14ac:dyDescent="0.2">
      <c r="B119" s="324"/>
      <c r="C119" s="148"/>
      <c r="D119" s="146" t="s">
        <v>197</v>
      </c>
      <c r="E119" s="215"/>
      <c r="F119" s="216"/>
      <c r="G119" s="99"/>
      <c r="H119" s="133"/>
      <c r="I119" s="129"/>
      <c r="J119" s="111">
        <v>2656062</v>
      </c>
      <c r="K119" s="374"/>
      <c r="L119" s="214"/>
    </row>
    <row r="120" spans="2:12" x14ac:dyDescent="0.2">
      <c r="B120" s="324"/>
      <c r="C120" s="148"/>
      <c r="D120" s="146" t="s">
        <v>196</v>
      </c>
      <c r="E120" s="215"/>
      <c r="F120" s="216"/>
      <c r="G120" s="99"/>
      <c r="H120" s="133"/>
      <c r="I120" s="129"/>
      <c r="J120" s="111">
        <v>2933519</v>
      </c>
      <c r="K120" s="374"/>
      <c r="L120" s="214"/>
    </row>
    <row r="121" spans="2:12" x14ac:dyDescent="0.2">
      <c r="B121" s="324"/>
      <c r="C121" s="148"/>
      <c r="D121" s="146"/>
      <c r="E121" s="215"/>
      <c r="F121" s="216"/>
      <c r="G121" s="99"/>
      <c r="H121" s="133"/>
      <c r="I121" s="129"/>
      <c r="J121" s="111"/>
      <c r="K121" s="374"/>
      <c r="L121" s="214"/>
    </row>
    <row r="122" spans="2:12" ht="15.75" x14ac:dyDescent="0.25">
      <c r="B122" s="322"/>
      <c r="C122" s="232">
        <v>2020110108</v>
      </c>
      <c r="D122" s="233" t="s">
        <v>37</v>
      </c>
      <c r="E122" s="234">
        <v>47751632</v>
      </c>
      <c r="F122" s="235">
        <f>SUM(F123:F129)</f>
        <v>0</v>
      </c>
      <c r="G122" s="235">
        <f>SUM(G123:G129)</f>
        <v>0</v>
      </c>
      <c r="H122" s="235">
        <f>SUM(H123:H129)</f>
        <v>1089336</v>
      </c>
      <c r="I122" s="236">
        <f>ROUND((E122+F122+G122-H122),1)</f>
        <v>46662296</v>
      </c>
      <c r="J122" s="235">
        <f>SUM(J123:J129)</f>
        <v>46662296</v>
      </c>
      <c r="K122" s="373">
        <f>I122-J122</f>
        <v>0</v>
      </c>
      <c r="L122" s="397">
        <f>K122</f>
        <v>0</v>
      </c>
    </row>
    <row r="123" spans="2:12" x14ac:dyDescent="0.2">
      <c r="B123" s="324">
        <v>43286</v>
      </c>
      <c r="C123" s="148"/>
      <c r="D123" s="146" t="s">
        <v>247</v>
      </c>
      <c r="E123" s="215"/>
      <c r="F123" s="216"/>
      <c r="G123" s="99"/>
      <c r="H123" s="100"/>
      <c r="I123" s="129"/>
      <c r="J123" s="111">
        <v>1283713</v>
      </c>
      <c r="K123" s="374"/>
      <c r="L123" s="214"/>
    </row>
    <row r="124" spans="2:12" x14ac:dyDescent="0.2">
      <c r="B124" s="324">
        <v>43441</v>
      </c>
      <c r="C124" s="148"/>
      <c r="D124" s="146" t="s">
        <v>290</v>
      </c>
      <c r="E124" s="215"/>
      <c r="F124" s="216"/>
      <c r="G124" s="99"/>
      <c r="H124" s="100"/>
      <c r="I124" s="129"/>
      <c r="J124" s="111">
        <v>45378583</v>
      </c>
      <c r="K124" s="374"/>
      <c r="L124" s="214"/>
    </row>
    <row r="125" spans="2:12" x14ac:dyDescent="0.2">
      <c r="B125" s="406">
        <v>43440</v>
      </c>
      <c r="C125" s="407"/>
      <c r="D125" s="409" t="s">
        <v>305</v>
      </c>
      <c r="E125" s="215"/>
      <c r="F125" s="216"/>
      <c r="G125" s="99"/>
      <c r="H125" s="100">
        <v>1089336</v>
      </c>
      <c r="I125" s="129"/>
      <c r="J125" s="111"/>
      <c r="K125" s="374"/>
      <c r="L125" s="214"/>
    </row>
    <row r="126" spans="2:12" x14ac:dyDescent="0.2">
      <c r="B126" s="324"/>
      <c r="C126" s="148"/>
      <c r="D126" s="146"/>
      <c r="E126" s="215"/>
      <c r="F126" s="216"/>
      <c r="G126" s="99"/>
      <c r="H126" s="100"/>
      <c r="I126" s="129"/>
      <c r="J126" s="111"/>
      <c r="K126" s="374"/>
      <c r="L126" s="214"/>
    </row>
    <row r="127" spans="2:12" x14ac:dyDescent="0.2">
      <c r="B127" s="324"/>
      <c r="C127" s="148"/>
      <c r="D127" s="146"/>
      <c r="E127" s="215"/>
      <c r="F127" s="216"/>
      <c r="G127" s="99"/>
      <c r="H127" s="100"/>
      <c r="I127" s="129"/>
      <c r="J127" s="111"/>
      <c r="K127" s="374"/>
      <c r="L127" s="214"/>
    </row>
    <row r="128" spans="2:12" x14ac:dyDescent="0.2">
      <c r="B128" s="324"/>
      <c r="C128" s="148"/>
      <c r="D128" s="146"/>
      <c r="E128" s="215"/>
      <c r="F128" s="216"/>
      <c r="G128" s="99"/>
      <c r="H128" s="100"/>
      <c r="I128" s="129"/>
      <c r="J128" s="111"/>
      <c r="K128" s="374"/>
      <c r="L128" s="214"/>
    </row>
    <row r="129" spans="2:12" x14ac:dyDescent="0.2">
      <c r="B129" s="324"/>
      <c r="C129" s="148"/>
      <c r="D129" s="146"/>
      <c r="E129" s="215"/>
      <c r="F129" s="216"/>
      <c r="G129" s="99"/>
      <c r="H129" s="100"/>
      <c r="I129" s="129"/>
      <c r="J129" s="111"/>
      <c r="K129" s="374"/>
      <c r="L129" s="214"/>
    </row>
    <row r="130" spans="2:12" ht="18" x14ac:dyDescent="0.25">
      <c r="B130" s="327"/>
      <c r="C130" s="240" t="s">
        <v>38</v>
      </c>
      <c r="D130" s="239" t="s">
        <v>151</v>
      </c>
      <c r="E130" s="239">
        <f>SUM(E131:E148)</f>
        <v>12849993</v>
      </c>
      <c r="F130" s="264">
        <f>F131+F147+F148</f>
        <v>20000000</v>
      </c>
      <c r="G130" s="264">
        <f>G131+G147+G148</f>
        <v>27650007</v>
      </c>
      <c r="H130" s="264">
        <f>H131+H147+H148</f>
        <v>14215400</v>
      </c>
      <c r="I130" s="264">
        <f>I131+I147+I148</f>
        <v>46284600</v>
      </c>
      <c r="J130" s="264">
        <f>J131+J147+J148</f>
        <v>46284600</v>
      </c>
      <c r="K130" s="377">
        <f>I130-J130</f>
        <v>0</v>
      </c>
      <c r="L130" s="214"/>
    </row>
    <row r="131" spans="2:12" ht="15.75" x14ac:dyDescent="0.25">
      <c r="B131" s="322"/>
      <c r="C131" s="232">
        <v>2020110201</v>
      </c>
      <c r="D131" s="233" t="s">
        <v>41</v>
      </c>
      <c r="E131" s="234">
        <f>2300000+10549993</f>
        <v>12849993</v>
      </c>
      <c r="F131" s="235">
        <f>SUM(F132:F146)</f>
        <v>20000000</v>
      </c>
      <c r="G131" s="242">
        <f>SUM(G132:G146)</f>
        <v>27650007</v>
      </c>
      <c r="H131" s="242">
        <f>SUM(H132:H146)</f>
        <v>14215400</v>
      </c>
      <c r="I131" s="236">
        <f>E131+F131+G131-H131</f>
        <v>46284600</v>
      </c>
      <c r="J131" s="237">
        <f>SUM(J132:J146)</f>
        <v>46284600</v>
      </c>
      <c r="K131" s="373">
        <f>I131-J131</f>
        <v>0</v>
      </c>
      <c r="L131" s="394">
        <f>K131</f>
        <v>0</v>
      </c>
    </row>
    <row r="132" spans="2:12" x14ac:dyDescent="0.2">
      <c r="B132" s="328">
        <v>43111</v>
      </c>
      <c r="C132" s="269"/>
      <c r="D132" s="270" t="s">
        <v>172</v>
      </c>
      <c r="E132" s="271"/>
      <c r="F132" s="272"/>
      <c r="G132" s="273">
        <v>27650007</v>
      </c>
      <c r="H132" s="100"/>
      <c r="I132" s="129"/>
      <c r="J132" s="111"/>
      <c r="K132" s="374"/>
      <c r="L132" s="214"/>
    </row>
    <row r="133" spans="2:12" x14ac:dyDescent="0.2">
      <c r="B133" s="328" t="s">
        <v>178</v>
      </c>
      <c r="C133" s="269"/>
      <c r="D133" s="270" t="s">
        <v>179</v>
      </c>
      <c r="E133" s="215"/>
      <c r="F133" s="216"/>
      <c r="G133" s="101"/>
      <c r="H133" s="100"/>
      <c r="I133" s="129"/>
      <c r="J133" s="274">
        <v>7000000</v>
      </c>
      <c r="K133" s="374"/>
      <c r="L133" s="214"/>
    </row>
    <row r="134" spans="2:12" x14ac:dyDescent="0.2">
      <c r="B134" s="328">
        <v>43126</v>
      </c>
      <c r="C134" s="269"/>
      <c r="D134" s="270" t="s">
        <v>180</v>
      </c>
      <c r="E134" s="215"/>
      <c r="F134" s="216"/>
      <c r="G134" s="101"/>
      <c r="H134" s="100"/>
      <c r="I134" s="129"/>
      <c r="J134" s="274">
        <v>14250000</v>
      </c>
      <c r="K134" s="374"/>
      <c r="L134" s="214"/>
    </row>
    <row r="135" spans="2:12" x14ac:dyDescent="0.2">
      <c r="B135" s="328">
        <v>43126</v>
      </c>
      <c r="C135" s="269"/>
      <c r="D135" s="270" t="s">
        <v>181</v>
      </c>
      <c r="E135" s="215"/>
      <c r="F135" s="216"/>
      <c r="G135" s="101"/>
      <c r="H135" s="100"/>
      <c r="I135" s="129"/>
      <c r="J135" s="274">
        <v>12000000</v>
      </c>
      <c r="K135" s="374"/>
      <c r="L135" s="214"/>
    </row>
    <row r="136" spans="2:12" x14ac:dyDescent="0.2">
      <c r="B136" s="328">
        <v>43126</v>
      </c>
      <c r="C136" s="148"/>
      <c r="D136" s="275" t="s">
        <v>182</v>
      </c>
      <c r="E136" s="271"/>
      <c r="F136" s="272"/>
      <c r="G136" s="273"/>
      <c r="H136" s="276"/>
      <c r="I136" s="277"/>
      <c r="J136" s="274">
        <v>1582100</v>
      </c>
      <c r="K136" s="374"/>
      <c r="L136" s="214"/>
    </row>
    <row r="137" spans="2:12" x14ac:dyDescent="0.2">
      <c r="B137" s="328">
        <v>43194</v>
      </c>
      <c r="C137" s="269">
        <v>45</v>
      </c>
      <c r="D137" s="341" t="s">
        <v>233</v>
      </c>
      <c r="E137" s="215"/>
      <c r="F137" s="216">
        <v>20000000</v>
      </c>
      <c r="G137" s="101"/>
      <c r="H137" s="100"/>
      <c r="I137" s="129"/>
      <c r="J137" s="111"/>
      <c r="K137" s="374"/>
      <c r="L137" s="214"/>
    </row>
    <row r="138" spans="2:12" x14ac:dyDescent="0.2">
      <c r="B138" s="324">
        <v>43325</v>
      </c>
      <c r="C138" s="148"/>
      <c r="D138" s="147" t="s">
        <v>250</v>
      </c>
      <c r="E138" s="215"/>
      <c r="F138" s="216"/>
      <c r="G138" s="101"/>
      <c r="H138" s="100"/>
      <c r="I138" s="129"/>
      <c r="J138" s="111">
        <v>150000</v>
      </c>
      <c r="K138" s="374"/>
      <c r="L138" s="111"/>
    </row>
    <row r="139" spans="2:12" x14ac:dyDescent="0.2">
      <c r="B139" s="324">
        <v>43342</v>
      </c>
      <c r="C139" s="148"/>
      <c r="D139" s="147" t="s">
        <v>259</v>
      </c>
      <c r="E139" s="215"/>
      <c r="F139" s="216"/>
      <c r="G139" s="101"/>
      <c r="H139" s="100"/>
      <c r="I139" s="129"/>
      <c r="J139" s="111">
        <v>6350000</v>
      </c>
      <c r="K139" s="374"/>
      <c r="L139" s="214"/>
    </row>
    <row r="140" spans="2:12" x14ac:dyDescent="0.2">
      <c r="B140" s="324">
        <v>43381</v>
      </c>
      <c r="C140" s="148"/>
      <c r="D140" s="147" t="s">
        <v>265</v>
      </c>
      <c r="E140" s="215"/>
      <c r="F140" s="216"/>
      <c r="G140" s="101"/>
      <c r="H140" s="100">
        <v>10000000</v>
      </c>
      <c r="I140" s="129"/>
      <c r="J140" s="111"/>
      <c r="K140" s="374"/>
      <c r="L140" s="214"/>
    </row>
    <row r="141" spans="2:12" x14ac:dyDescent="0.2">
      <c r="B141" s="324">
        <v>43417</v>
      </c>
      <c r="C141" s="148"/>
      <c r="D141" s="147" t="s">
        <v>282</v>
      </c>
      <c r="E141" s="215"/>
      <c r="F141" s="216"/>
      <c r="G141" s="101"/>
      <c r="H141" s="100">
        <v>3500000</v>
      </c>
      <c r="I141" s="129"/>
      <c r="J141" s="111"/>
      <c r="K141" s="374"/>
      <c r="L141" s="214"/>
    </row>
    <row r="142" spans="2:12" x14ac:dyDescent="0.2">
      <c r="B142" s="406">
        <v>43440</v>
      </c>
      <c r="C142" s="407"/>
      <c r="D142" s="409" t="s">
        <v>305</v>
      </c>
      <c r="E142" s="215"/>
      <c r="F142" s="216"/>
      <c r="G142" s="101"/>
      <c r="H142" s="100">
        <v>715400</v>
      </c>
      <c r="I142" s="129"/>
      <c r="J142" s="111"/>
      <c r="K142" s="374"/>
      <c r="L142" s="214"/>
    </row>
    <row r="143" spans="2:12" x14ac:dyDescent="0.2">
      <c r="B143" s="324">
        <v>43432</v>
      </c>
      <c r="C143" s="148"/>
      <c r="D143" s="147" t="s">
        <v>283</v>
      </c>
      <c r="E143" s="215"/>
      <c r="F143" s="216"/>
      <c r="G143" s="101"/>
      <c r="H143" s="100"/>
      <c r="I143" s="129"/>
      <c r="J143" s="111">
        <v>3000000</v>
      </c>
      <c r="K143" s="374"/>
      <c r="L143" s="214"/>
    </row>
    <row r="144" spans="2:12" x14ac:dyDescent="0.2">
      <c r="B144" s="324"/>
      <c r="C144" s="148"/>
      <c r="D144" s="147" t="s">
        <v>315</v>
      </c>
      <c r="E144" s="215"/>
      <c r="F144" s="216"/>
      <c r="G144" s="101"/>
      <c r="H144" s="100"/>
      <c r="I144" s="129"/>
      <c r="J144" s="111">
        <v>1952500</v>
      </c>
      <c r="K144" s="374"/>
      <c r="L144" s="214"/>
    </row>
    <row r="145" spans="2:12" x14ac:dyDescent="0.2">
      <c r="B145" s="324"/>
      <c r="C145" s="148"/>
      <c r="D145" s="147"/>
      <c r="E145" s="215"/>
      <c r="F145" s="216"/>
      <c r="G145" s="101"/>
      <c r="H145" s="100"/>
      <c r="I145" s="129"/>
      <c r="J145" s="111"/>
      <c r="K145" s="374"/>
      <c r="L145" s="214"/>
    </row>
    <row r="146" spans="2:12" x14ac:dyDescent="0.2">
      <c r="B146" s="324"/>
      <c r="C146" s="148"/>
      <c r="D146" s="147"/>
      <c r="E146" s="215"/>
      <c r="F146" s="216"/>
      <c r="G146" s="101"/>
      <c r="H146" s="100"/>
      <c r="I146" s="129"/>
      <c r="J146" s="111"/>
      <c r="K146" s="374"/>
      <c r="L146" s="214"/>
    </row>
    <row r="147" spans="2:12" x14ac:dyDescent="0.2">
      <c r="B147" s="329"/>
      <c r="C147" s="225" t="s">
        <v>42</v>
      </c>
      <c r="D147" s="208" t="s">
        <v>43</v>
      </c>
      <c r="E147" s="226">
        <v>0</v>
      </c>
      <c r="F147" s="227"/>
      <c r="G147" s="209"/>
      <c r="H147" s="209"/>
      <c r="I147" s="209">
        <f>E147+F147+G147-H147</f>
        <v>0</v>
      </c>
      <c r="J147" s="228"/>
      <c r="K147" s="378"/>
      <c r="L147" s="214"/>
    </row>
    <row r="148" spans="2:12" x14ac:dyDescent="0.2">
      <c r="B148" s="329"/>
      <c r="C148" s="225" t="s">
        <v>44</v>
      </c>
      <c r="D148" s="225" t="s">
        <v>45</v>
      </c>
      <c r="E148" s="226">
        <v>0</v>
      </c>
      <c r="F148" s="227"/>
      <c r="G148" s="209"/>
      <c r="H148" s="209"/>
      <c r="I148" s="209">
        <f>E148+F148+G148-H148</f>
        <v>0</v>
      </c>
      <c r="J148" s="228"/>
      <c r="K148" s="378"/>
      <c r="L148" s="214"/>
    </row>
    <row r="149" spans="2:12" ht="24" customHeight="1" x14ac:dyDescent="0.25">
      <c r="B149" s="330"/>
      <c r="C149" s="253"/>
      <c r="D149" s="254" t="s">
        <v>152</v>
      </c>
      <c r="E149" s="255">
        <f t="shared" ref="E149:J149" si="0">E150+E189+E497</f>
        <v>91648328</v>
      </c>
      <c r="F149" s="255">
        <f t="shared" si="0"/>
        <v>145000000</v>
      </c>
      <c r="G149" s="255">
        <f t="shared" si="0"/>
        <v>62278782</v>
      </c>
      <c r="H149" s="255">
        <f t="shared" si="0"/>
        <v>22474340</v>
      </c>
      <c r="I149" s="255">
        <f t="shared" si="0"/>
        <v>276452770</v>
      </c>
      <c r="J149" s="255">
        <f t="shared" si="0"/>
        <v>276452770</v>
      </c>
      <c r="K149" s="379">
        <f>I149-J149</f>
        <v>0</v>
      </c>
      <c r="L149" s="214"/>
    </row>
    <row r="150" spans="2:12" ht="18" x14ac:dyDescent="0.25">
      <c r="B150" s="331"/>
      <c r="C150" s="240">
        <v>20201201</v>
      </c>
      <c r="D150" s="239" t="s">
        <v>153</v>
      </c>
      <c r="E150" s="241">
        <f t="shared" ref="E150:J150" si="1">E151+E162+E179+E188</f>
        <v>16200000</v>
      </c>
      <c r="F150" s="264">
        <f t="shared" si="1"/>
        <v>23000000</v>
      </c>
      <c r="G150" s="264">
        <f t="shared" si="1"/>
        <v>17109600</v>
      </c>
      <c r="H150" s="264">
        <f t="shared" si="1"/>
        <v>6140000</v>
      </c>
      <c r="I150" s="241">
        <f t="shared" si="1"/>
        <v>50169600</v>
      </c>
      <c r="J150" s="264">
        <f t="shared" si="1"/>
        <v>50169600</v>
      </c>
      <c r="K150" s="380">
        <f>I150-J150</f>
        <v>0</v>
      </c>
      <c r="L150" s="214"/>
    </row>
    <row r="151" spans="2:12" ht="15.75" x14ac:dyDescent="0.25">
      <c r="B151" s="322"/>
      <c r="C151" s="232" t="s">
        <v>48</v>
      </c>
      <c r="D151" s="232" t="s">
        <v>49</v>
      </c>
      <c r="E151" s="234">
        <v>3000000</v>
      </c>
      <c r="F151" s="235">
        <f>SUM(F152:F161)</f>
        <v>3000000</v>
      </c>
      <c r="G151" s="235">
        <f>SUM(G152:G161)</f>
        <v>6400000</v>
      </c>
      <c r="H151" s="235">
        <f>SUM(H152:H161)</f>
        <v>6140000</v>
      </c>
      <c r="I151" s="236">
        <f>E151+F151+G151-H151</f>
        <v>6260000</v>
      </c>
      <c r="J151" s="237">
        <f>SUM(J152:J161)</f>
        <v>6260000</v>
      </c>
      <c r="K151" s="373">
        <f>I151-J151</f>
        <v>0</v>
      </c>
      <c r="L151" s="214"/>
    </row>
    <row r="152" spans="2:12" x14ac:dyDescent="0.2">
      <c r="B152" s="324">
        <v>43194</v>
      </c>
      <c r="C152" s="148">
        <v>45</v>
      </c>
      <c r="D152" s="146" t="s">
        <v>233</v>
      </c>
      <c r="E152" s="215"/>
      <c r="F152" s="216">
        <v>3000000</v>
      </c>
      <c r="G152" s="99"/>
      <c r="H152" s="100"/>
      <c r="I152" s="129"/>
      <c r="J152" s="111"/>
      <c r="K152" s="374"/>
      <c r="L152" s="214"/>
    </row>
    <row r="153" spans="2:12" x14ac:dyDescent="0.2">
      <c r="B153" s="347">
        <v>43381</v>
      </c>
      <c r="C153" s="348"/>
      <c r="D153" s="348" t="s">
        <v>274</v>
      </c>
      <c r="E153" s="215"/>
      <c r="F153" s="216"/>
      <c r="G153" s="99"/>
      <c r="H153" s="100">
        <v>6000000</v>
      </c>
      <c r="I153" s="129"/>
      <c r="J153" s="111"/>
      <c r="K153" s="374"/>
      <c r="L153" s="214"/>
    </row>
    <row r="154" spans="2:12" x14ac:dyDescent="0.2">
      <c r="B154" s="406">
        <v>43440</v>
      </c>
      <c r="C154" s="407"/>
      <c r="D154" s="407" t="s">
        <v>301</v>
      </c>
      <c r="E154" s="215"/>
      <c r="F154" s="216"/>
      <c r="G154" s="99">
        <v>6400000</v>
      </c>
      <c r="H154" s="100"/>
      <c r="I154" s="129"/>
      <c r="J154" s="111"/>
      <c r="K154" s="374"/>
      <c r="L154" s="214"/>
    </row>
    <row r="155" spans="2:12" x14ac:dyDescent="0.2">
      <c r="B155" s="324"/>
      <c r="C155" s="148"/>
      <c r="D155" s="148" t="s">
        <v>303</v>
      </c>
      <c r="E155" s="215"/>
      <c r="F155" s="216"/>
      <c r="G155" s="99"/>
      <c r="H155" s="100"/>
      <c r="I155" s="129"/>
      <c r="J155" s="111">
        <v>6260000</v>
      </c>
      <c r="K155" s="374"/>
      <c r="L155" s="214"/>
    </row>
    <row r="156" spans="2:12" x14ac:dyDescent="0.2">
      <c r="B156" s="324"/>
      <c r="C156" s="148"/>
      <c r="D156" s="148" t="s">
        <v>320</v>
      </c>
      <c r="E156" s="215"/>
      <c r="F156" s="216"/>
      <c r="G156" s="99"/>
      <c r="H156" s="100">
        <v>140000</v>
      </c>
      <c r="I156" s="129"/>
      <c r="J156" s="111"/>
      <c r="K156" s="374"/>
      <c r="L156" s="214"/>
    </row>
    <row r="157" spans="2:12" x14ac:dyDescent="0.2">
      <c r="B157" s="324"/>
      <c r="C157" s="148"/>
      <c r="D157" s="148"/>
      <c r="E157" s="215"/>
      <c r="F157" s="216"/>
      <c r="G157" s="99"/>
      <c r="H157" s="100"/>
      <c r="I157" s="129"/>
      <c r="J157" s="111"/>
      <c r="K157" s="374"/>
      <c r="L157" s="214"/>
    </row>
    <row r="158" spans="2:12" x14ac:dyDescent="0.2">
      <c r="B158" s="324"/>
      <c r="C158" s="148"/>
      <c r="D158" s="148"/>
      <c r="E158" s="215"/>
      <c r="F158" s="216"/>
      <c r="G158" s="99"/>
      <c r="H158" s="100"/>
      <c r="I158" s="129"/>
      <c r="J158" s="111"/>
      <c r="K158" s="374"/>
      <c r="L158" s="214"/>
    </row>
    <row r="159" spans="2:12" x14ac:dyDescent="0.2">
      <c r="B159" s="324"/>
      <c r="C159" s="148"/>
      <c r="D159" s="148"/>
      <c r="E159" s="215"/>
      <c r="F159" s="216"/>
      <c r="G159" s="99"/>
      <c r="H159" s="100"/>
      <c r="I159" s="129"/>
      <c r="J159" s="111"/>
      <c r="K159" s="374"/>
      <c r="L159" s="214"/>
    </row>
    <row r="160" spans="2:12" x14ac:dyDescent="0.2">
      <c r="B160" s="324"/>
      <c r="C160" s="148"/>
      <c r="D160" s="148"/>
      <c r="E160" s="215"/>
      <c r="F160" s="216"/>
      <c r="G160" s="99"/>
      <c r="H160" s="100"/>
      <c r="I160" s="129"/>
      <c r="J160" s="111"/>
      <c r="K160" s="374"/>
      <c r="L160" s="214"/>
    </row>
    <row r="161" spans="2:12" x14ac:dyDescent="0.2">
      <c r="B161" s="324"/>
      <c r="C161" s="148"/>
      <c r="D161" s="148"/>
      <c r="E161" s="215"/>
      <c r="F161" s="216"/>
      <c r="G161" s="99"/>
      <c r="H161" s="100"/>
      <c r="I161" s="129"/>
      <c r="J161" s="111"/>
      <c r="K161" s="374"/>
      <c r="L161" s="214"/>
    </row>
    <row r="162" spans="2:12" ht="15.75" x14ac:dyDescent="0.25">
      <c r="B162" s="322"/>
      <c r="C162" s="232" t="s">
        <v>50</v>
      </c>
      <c r="D162" s="232" t="s">
        <v>51</v>
      </c>
      <c r="E162" s="234">
        <v>12000000</v>
      </c>
      <c r="F162" s="259">
        <f>SUM(F163:F178)</f>
        <v>20000000</v>
      </c>
      <c r="G162" s="259">
        <f>SUM(G163:G178)</f>
        <v>9159600</v>
      </c>
      <c r="H162" s="259">
        <f>SUM(H163:H178)</f>
        <v>0</v>
      </c>
      <c r="I162" s="236">
        <f>E162+F162+G162-H162</f>
        <v>41159600</v>
      </c>
      <c r="J162" s="237">
        <f>SUM(J163:J178)</f>
        <v>41159600</v>
      </c>
      <c r="K162" s="373">
        <f>I162-J162</f>
        <v>0</v>
      </c>
      <c r="L162" s="394">
        <f>K162</f>
        <v>0</v>
      </c>
    </row>
    <row r="163" spans="2:12" x14ac:dyDescent="0.2">
      <c r="B163" s="324">
        <v>43124</v>
      </c>
      <c r="C163" s="148"/>
      <c r="D163" s="149" t="s">
        <v>177</v>
      </c>
      <c r="E163" s="215"/>
      <c r="F163" s="135"/>
      <c r="G163" s="99"/>
      <c r="H163" s="100"/>
      <c r="I163" s="129"/>
      <c r="J163" s="111">
        <v>499800</v>
      </c>
      <c r="K163" s="374"/>
      <c r="L163" s="214"/>
    </row>
    <row r="164" spans="2:12" x14ac:dyDescent="0.2">
      <c r="B164" s="324"/>
      <c r="C164" s="148"/>
      <c r="D164" s="214" t="s">
        <v>184</v>
      </c>
      <c r="E164" s="215"/>
      <c r="F164" s="135">
        <v>20000000</v>
      </c>
      <c r="G164" s="99"/>
      <c r="H164" s="100"/>
      <c r="I164" s="129"/>
      <c r="J164" s="111"/>
      <c r="K164" s="374"/>
      <c r="L164" s="214"/>
    </row>
    <row r="165" spans="2:12" x14ac:dyDescent="0.2">
      <c r="B165" s="324">
        <v>43131</v>
      </c>
      <c r="C165" s="148"/>
      <c r="D165" s="149" t="s">
        <v>186</v>
      </c>
      <c r="E165" s="215"/>
      <c r="F165" s="135"/>
      <c r="G165" s="99"/>
      <c r="H165" s="100"/>
      <c r="I165" s="129"/>
      <c r="J165" s="111">
        <v>1100000</v>
      </c>
      <c r="K165" s="374"/>
      <c r="L165" s="214"/>
    </row>
    <row r="166" spans="2:12" x14ac:dyDescent="0.2">
      <c r="B166" s="324" t="s">
        <v>193</v>
      </c>
      <c r="C166" s="148"/>
      <c r="D166" s="149" t="s">
        <v>194</v>
      </c>
      <c r="E166" s="215"/>
      <c r="F166" s="135"/>
      <c r="G166" s="99"/>
      <c r="H166" s="100"/>
      <c r="I166" s="129"/>
      <c r="J166" s="111">
        <v>14395000</v>
      </c>
      <c r="K166" s="374"/>
      <c r="L166" s="214"/>
    </row>
    <row r="167" spans="2:12" x14ac:dyDescent="0.2">
      <c r="B167" s="324">
        <v>43194</v>
      </c>
      <c r="C167" s="148"/>
      <c r="D167" s="149" t="s">
        <v>213</v>
      </c>
      <c r="E167" s="215"/>
      <c r="F167" s="135"/>
      <c r="G167" s="99"/>
      <c r="H167" s="100"/>
      <c r="I167" s="129"/>
      <c r="J167" s="111">
        <v>900600</v>
      </c>
      <c r="K167" s="374"/>
      <c r="L167" s="214"/>
    </row>
    <row r="168" spans="2:12" x14ac:dyDescent="0.2">
      <c r="B168" s="324">
        <v>43222</v>
      </c>
      <c r="C168" s="148"/>
      <c r="D168" s="149" t="s">
        <v>223</v>
      </c>
      <c r="E168" s="215"/>
      <c r="F168" s="135"/>
      <c r="G168" s="99"/>
      <c r="H168" s="100"/>
      <c r="I168" s="129"/>
      <c r="J168" s="111">
        <v>2660000</v>
      </c>
      <c r="K168" s="374"/>
      <c r="L168" s="214"/>
    </row>
    <row r="169" spans="2:12" x14ac:dyDescent="0.2">
      <c r="B169" s="324">
        <v>43224</v>
      </c>
      <c r="C169" s="148"/>
      <c r="D169" s="149" t="s">
        <v>213</v>
      </c>
      <c r="E169" s="215"/>
      <c r="F169" s="135"/>
      <c r="G169" s="99"/>
      <c r="H169" s="100"/>
      <c r="I169" s="129"/>
      <c r="J169" s="111">
        <v>1097200</v>
      </c>
      <c r="K169" s="374"/>
      <c r="L169" s="214"/>
    </row>
    <row r="170" spans="2:12" x14ac:dyDescent="0.2">
      <c r="B170" s="324">
        <v>43321</v>
      </c>
      <c r="C170" s="148"/>
      <c r="D170" s="149" t="s">
        <v>251</v>
      </c>
      <c r="E170" s="215"/>
      <c r="F170" s="135"/>
      <c r="G170" s="99"/>
      <c r="H170" s="100"/>
      <c r="I170" s="129"/>
      <c r="J170" s="313">
        <v>7376400</v>
      </c>
      <c r="K170" s="374"/>
      <c r="L170" s="214"/>
    </row>
    <row r="171" spans="2:12" x14ac:dyDescent="0.2">
      <c r="B171" s="324">
        <v>43327</v>
      </c>
      <c r="C171" s="148"/>
      <c r="D171" s="149" t="s">
        <v>213</v>
      </c>
      <c r="E171" s="215"/>
      <c r="F171" s="135"/>
      <c r="G171" s="99"/>
      <c r="H171" s="100"/>
      <c r="I171" s="129"/>
      <c r="J171" s="346">
        <v>1100000</v>
      </c>
      <c r="K171" s="374"/>
      <c r="L171" s="214"/>
    </row>
    <row r="172" spans="2:12" x14ac:dyDescent="0.2">
      <c r="B172" s="324">
        <v>43341</v>
      </c>
      <c r="C172" s="148"/>
      <c r="D172" s="149" t="s">
        <v>260</v>
      </c>
      <c r="E172" s="215"/>
      <c r="F172" s="135"/>
      <c r="G172" s="99"/>
      <c r="H172" s="100"/>
      <c r="I172" s="129"/>
      <c r="J172" s="111">
        <v>2730000</v>
      </c>
      <c r="K172" s="374"/>
      <c r="L172" s="214"/>
    </row>
    <row r="173" spans="2:12" x14ac:dyDescent="0.2">
      <c r="B173" s="347">
        <v>43361</v>
      </c>
      <c r="C173" s="348"/>
      <c r="D173" s="348" t="s">
        <v>263</v>
      </c>
      <c r="E173" s="215"/>
      <c r="F173" s="135"/>
      <c r="G173" s="99">
        <v>1000000</v>
      </c>
      <c r="H173" s="100"/>
      <c r="I173" s="129"/>
      <c r="J173" s="111"/>
      <c r="K173" s="374"/>
      <c r="L173" s="214"/>
    </row>
    <row r="174" spans="2:12" x14ac:dyDescent="0.2">
      <c r="B174" s="324">
        <v>43369</v>
      </c>
      <c r="C174" s="148"/>
      <c r="D174" s="149" t="s">
        <v>213</v>
      </c>
      <c r="E174" s="215"/>
      <c r="F174" s="135"/>
      <c r="G174" s="99"/>
      <c r="H174" s="100"/>
      <c r="I174" s="129"/>
      <c r="J174" s="111">
        <v>1050600</v>
      </c>
      <c r="K174" s="374"/>
      <c r="L174" s="214"/>
    </row>
    <row r="175" spans="2:12" x14ac:dyDescent="0.2">
      <c r="B175" s="406">
        <v>43440</v>
      </c>
      <c r="C175" s="407"/>
      <c r="D175" s="407" t="s">
        <v>301</v>
      </c>
      <c r="E175" s="215"/>
      <c r="F175" s="135"/>
      <c r="G175" s="99">
        <v>8159600</v>
      </c>
      <c r="H175" s="100"/>
      <c r="I175" s="129"/>
      <c r="J175" s="111"/>
      <c r="K175" s="374"/>
      <c r="L175" s="214"/>
    </row>
    <row r="176" spans="2:12" x14ac:dyDescent="0.2">
      <c r="B176" s="324"/>
      <c r="C176" s="148"/>
      <c r="D176" s="149" t="s">
        <v>307</v>
      </c>
      <c r="E176" s="215"/>
      <c r="F176" s="135"/>
      <c r="G176" s="99"/>
      <c r="H176" s="100"/>
      <c r="I176" s="129"/>
      <c r="J176" s="111">
        <v>6500000</v>
      </c>
      <c r="K176" s="374"/>
      <c r="L176" s="214"/>
    </row>
    <row r="177" spans="2:12" x14ac:dyDescent="0.2">
      <c r="B177" s="324"/>
      <c r="C177" s="148"/>
      <c r="D177" s="149" t="s">
        <v>312</v>
      </c>
      <c r="E177" s="215"/>
      <c r="F177" s="135"/>
      <c r="G177" s="99"/>
      <c r="H177" s="100"/>
      <c r="I177" s="129"/>
      <c r="J177" s="111">
        <v>1750000</v>
      </c>
      <c r="K177" s="374"/>
      <c r="L177" s="214"/>
    </row>
    <row r="178" spans="2:12" x14ac:dyDescent="0.2">
      <c r="B178" s="324"/>
      <c r="C178" s="148"/>
      <c r="D178" s="149"/>
      <c r="E178" s="215"/>
      <c r="F178" s="135"/>
      <c r="G178" s="99"/>
      <c r="H178" s="100"/>
      <c r="I178" s="129"/>
      <c r="J178" s="111"/>
      <c r="K178" s="374"/>
      <c r="L178" s="214"/>
    </row>
    <row r="179" spans="2:12" ht="15.75" x14ac:dyDescent="0.25">
      <c r="B179" s="322"/>
      <c r="C179" s="232" t="s">
        <v>52</v>
      </c>
      <c r="D179" s="232" t="s">
        <v>53</v>
      </c>
      <c r="E179" s="234">
        <v>1200000</v>
      </c>
      <c r="F179" s="235">
        <f>SUM(F180:F187)</f>
        <v>0</v>
      </c>
      <c r="G179" s="235">
        <f>SUM(G180:G187)</f>
        <v>1550000</v>
      </c>
      <c r="H179" s="235">
        <f>SUM(H180:H187)</f>
        <v>0</v>
      </c>
      <c r="I179" s="236">
        <f>E179+F179+G179-H179</f>
        <v>2750000</v>
      </c>
      <c r="J179" s="235">
        <f>SUM(J180:J187)</f>
        <v>2750000</v>
      </c>
      <c r="K179" s="373">
        <f>I179-J179</f>
        <v>0</v>
      </c>
      <c r="L179" s="214"/>
    </row>
    <row r="180" spans="2:12" x14ac:dyDescent="0.2">
      <c r="B180" s="406">
        <v>43440</v>
      </c>
      <c r="C180" s="407"/>
      <c r="D180" s="407" t="s">
        <v>301</v>
      </c>
      <c r="E180" s="215"/>
      <c r="F180" s="216"/>
      <c r="G180" s="99">
        <v>1550000</v>
      </c>
      <c r="H180" s="100"/>
      <c r="I180" s="129"/>
      <c r="J180" s="111"/>
      <c r="K180" s="374"/>
      <c r="L180" s="214"/>
    </row>
    <row r="181" spans="2:12" x14ac:dyDescent="0.2">
      <c r="B181" s="324"/>
      <c r="C181" s="148"/>
      <c r="D181" s="148" t="s">
        <v>313</v>
      </c>
      <c r="E181" s="215"/>
      <c r="F181" s="216"/>
      <c r="G181" s="99"/>
      <c r="H181" s="100"/>
      <c r="I181" s="129"/>
      <c r="J181" s="111">
        <v>2750000</v>
      </c>
      <c r="K181" s="374"/>
      <c r="L181" s="214"/>
    </row>
    <row r="182" spans="2:12" x14ac:dyDescent="0.2">
      <c r="B182" s="324"/>
      <c r="C182" s="148"/>
      <c r="D182" s="148"/>
      <c r="E182" s="215"/>
      <c r="F182" s="216"/>
      <c r="G182" s="99"/>
      <c r="H182" s="100"/>
      <c r="I182" s="129"/>
      <c r="J182" s="111"/>
      <c r="K182" s="374"/>
      <c r="L182" s="214"/>
    </row>
    <row r="183" spans="2:12" x14ac:dyDescent="0.2">
      <c r="B183" s="324"/>
      <c r="C183" s="148"/>
      <c r="D183" s="148"/>
      <c r="E183" s="215"/>
      <c r="F183" s="216"/>
      <c r="G183" s="99"/>
      <c r="H183" s="100"/>
      <c r="I183" s="129"/>
      <c r="J183" s="111"/>
      <c r="K183" s="374"/>
      <c r="L183" s="214"/>
    </row>
    <row r="184" spans="2:12" x14ac:dyDescent="0.2">
      <c r="B184" s="324"/>
      <c r="C184" s="148"/>
      <c r="D184" s="148"/>
      <c r="E184" s="215"/>
      <c r="F184" s="216"/>
      <c r="G184" s="99"/>
      <c r="H184" s="100"/>
      <c r="I184" s="129"/>
      <c r="J184" s="111"/>
      <c r="K184" s="374"/>
      <c r="L184" s="214"/>
    </row>
    <row r="185" spans="2:12" x14ac:dyDescent="0.2">
      <c r="B185" s="324"/>
      <c r="C185" s="148"/>
      <c r="D185" s="148"/>
      <c r="E185" s="215"/>
      <c r="F185" s="216"/>
      <c r="G185" s="99"/>
      <c r="H185" s="100"/>
      <c r="I185" s="129"/>
      <c r="J185" s="111"/>
      <c r="K185" s="374"/>
      <c r="L185" s="214"/>
    </row>
    <row r="186" spans="2:12" x14ac:dyDescent="0.2">
      <c r="B186" s="324"/>
      <c r="C186" s="148"/>
      <c r="D186" s="148"/>
      <c r="E186" s="215"/>
      <c r="F186" s="216"/>
      <c r="G186" s="99"/>
      <c r="H186" s="100"/>
      <c r="I186" s="129"/>
      <c r="J186" s="111"/>
      <c r="K186" s="374"/>
      <c r="L186" s="214"/>
    </row>
    <row r="187" spans="2:12" x14ac:dyDescent="0.2">
      <c r="B187" s="324"/>
      <c r="C187" s="148"/>
      <c r="D187" s="148"/>
      <c r="E187" s="215"/>
      <c r="F187" s="216"/>
      <c r="G187" s="99"/>
      <c r="H187" s="100"/>
      <c r="I187" s="129"/>
      <c r="J187" s="111"/>
      <c r="K187" s="374"/>
      <c r="L187" s="214"/>
    </row>
    <row r="188" spans="2:12" x14ac:dyDescent="0.2">
      <c r="B188" s="325"/>
      <c r="C188" s="217" t="s">
        <v>54</v>
      </c>
      <c r="D188" s="217" t="s">
        <v>55</v>
      </c>
      <c r="E188" s="218">
        <v>0</v>
      </c>
      <c r="F188" s="219">
        <v>0</v>
      </c>
      <c r="G188" s="213">
        <v>0</v>
      </c>
      <c r="H188" s="213">
        <v>0</v>
      </c>
      <c r="I188" s="213">
        <f>E188+F188+G188-H188</f>
        <v>0</v>
      </c>
      <c r="J188" s="220"/>
      <c r="K188" s="375"/>
      <c r="L188" s="214"/>
    </row>
    <row r="189" spans="2:12" ht="18" x14ac:dyDescent="0.25">
      <c r="B189" s="331"/>
      <c r="C189" s="240" t="s">
        <v>56</v>
      </c>
      <c r="D189" s="256" t="s">
        <v>154</v>
      </c>
      <c r="E189" s="257">
        <f>E190+E212+E341+E361+E377+E414+E439+E450+E454+E463+E473+E480+E486+E491+E493+E497</f>
        <v>75448328</v>
      </c>
      <c r="F189" s="257">
        <f>F190+F212+F341+F361+F377+F414+F439+F450+F454+F463+F473+F480+F486+F491+F493+F497</f>
        <v>122000000</v>
      </c>
      <c r="G189" s="257">
        <f>G190+G212+G341+G361+G377+G414+G439+G450+G454+G463+G473+G480+G486+G491+G493+G497</f>
        <v>44077119</v>
      </c>
      <c r="H189" s="257">
        <f>H190+H212+H341+H361+H377+H414+H439+H450+H454+H463+H473+H480+H486+H491+H493+H497</f>
        <v>16334340</v>
      </c>
      <c r="I189" s="257">
        <f>I190+I212+I341+I361+I377+I414+I439+I450+I454+I463+I473+I480+I486+I491+I497+I493</f>
        <v>225191107</v>
      </c>
      <c r="J189" s="257">
        <f>J190+J212+J341+J361+J377+J414+J439+J450+J454+J463+J473+J480+J486+J491+J493+J497</f>
        <v>225191107</v>
      </c>
      <c r="K189" s="381">
        <f>I189-J189</f>
        <v>0</v>
      </c>
      <c r="L189" s="214"/>
    </row>
    <row r="190" spans="2:12" ht="15.75" x14ac:dyDescent="0.25">
      <c r="B190" s="322"/>
      <c r="C190" s="232">
        <v>2020120201</v>
      </c>
      <c r="D190" s="232" t="s">
        <v>59</v>
      </c>
      <c r="E190" s="234">
        <v>180000</v>
      </c>
      <c r="F190" s="259">
        <f>SUM(F191:F211)</f>
        <v>31000000</v>
      </c>
      <c r="G190" s="259">
        <f>SUM(G191:G211)</f>
        <v>0</v>
      </c>
      <c r="H190" s="259">
        <f>SUM(H191:H211)</f>
        <v>5471100</v>
      </c>
      <c r="I190" s="236">
        <f>E190+F190+G190-H190</f>
        <v>25708900</v>
      </c>
      <c r="J190" s="259">
        <f>SUM(J191:J211)</f>
        <v>25708900</v>
      </c>
      <c r="K190" s="373">
        <f>I190-J190</f>
        <v>0</v>
      </c>
      <c r="L190" s="394">
        <f>K190</f>
        <v>0</v>
      </c>
    </row>
    <row r="191" spans="2:12" x14ac:dyDescent="0.2">
      <c r="B191" s="324"/>
      <c r="C191" s="148"/>
      <c r="D191" s="214" t="s">
        <v>184</v>
      </c>
      <c r="E191" s="215"/>
      <c r="F191" s="135">
        <v>16000000</v>
      </c>
      <c r="G191" s="101"/>
      <c r="H191" s="100"/>
      <c r="I191" s="129"/>
      <c r="J191" s="111"/>
      <c r="K191" s="374"/>
      <c r="L191" s="214"/>
    </row>
    <row r="192" spans="2:12" x14ac:dyDescent="0.2">
      <c r="B192" s="324">
        <v>43131</v>
      </c>
      <c r="C192" s="148"/>
      <c r="D192" s="148" t="s">
        <v>186</v>
      </c>
      <c r="E192" s="215"/>
      <c r="F192" s="135"/>
      <c r="G192" s="101"/>
      <c r="H192" s="100"/>
      <c r="I192" s="129"/>
      <c r="J192" s="111">
        <v>1200000</v>
      </c>
      <c r="K192" s="374"/>
      <c r="L192" s="214"/>
    </row>
    <row r="193" spans="2:12" x14ac:dyDescent="0.2">
      <c r="D193" s="103" t="s">
        <v>215</v>
      </c>
      <c r="E193" s="215"/>
      <c r="F193" s="135"/>
      <c r="G193" s="101"/>
      <c r="H193" s="100"/>
      <c r="I193" s="129"/>
      <c r="J193" s="111">
        <v>14930000</v>
      </c>
      <c r="K193" s="374"/>
      <c r="L193" s="214"/>
    </row>
    <row r="194" spans="2:12" x14ac:dyDescent="0.2">
      <c r="B194" s="324">
        <v>43194</v>
      </c>
      <c r="C194" s="148"/>
      <c r="D194" s="148" t="s">
        <v>214</v>
      </c>
      <c r="E194" s="215"/>
      <c r="F194" s="135">
        <v>15000000</v>
      </c>
      <c r="G194" s="101"/>
      <c r="H194" s="100"/>
      <c r="I194" s="129"/>
      <c r="J194" s="313"/>
      <c r="K194" s="374"/>
      <c r="L194" s="349"/>
    </row>
    <row r="195" spans="2:12" x14ac:dyDescent="0.2">
      <c r="B195" s="324">
        <v>43194</v>
      </c>
      <c r="C195" s="148"/>
      <c r="D195" s="148" t="s">
        <v>213</v>
      </c>
      <c r="E195" s="215"/>
      <c r="F195" s="135"/>
      <c r="G195" s="101"/>
      <c r="H195" s="100"/>
      <c r="I195" s="129"/>
      <c r="J195" s="313">
        <v>1135000</v>
      </c>
      <c r="K195" s="374"/>
      <c r="L195" s="349"/>
    </row>
    <row r="196" spans="2:12" x14ac:dyDescent="0.2">
      <c r="B196" s="324">
        <v>43224</v>
      </c>
      <c r="C196" s="148"/>
      <c r="D196" s="148" t="s">
        <v>213</v>
      </c>
      <c r="E196" s="215"/>
      <c r="F196" s="135"/>
      <c r="G196" s="101"/>
      <c r="H196" s="100"/>
      <c r="I196" s="129"/>
      <c r="J196" s="111">
        <v>1196000</v>
      </c>
      <c r="K196" s="374"/>
      <c r="L196" s="111"/>
    </row>
    <row r="197" spans="2:12" x14ac:dyDescent="0.2">
      <c r="B197" s="324">
        <v>43293</v>
      </c>
      <c r="C197" s="148"/>
      <c r="D197" s="148" t="s">
        <v>253</v>
      </c>
      <c r="E197" s="215"/>
      <c r="F197" s="135"/>
      <c r="G197" s="101"/>
      <c r="H197" s="100"/>
      <c r="I197" s="129"/>
      <c r="J197" s="111">
        <v>1820000</v>
      </c>
      <c r="K197" s="374"/>
      <c r="L197" s="214"/>
    </row>
    <row r="198" spans="2:12" x14ac:dyDescent="0.2">
      <c r="B198" s="324">
        <v>43327</v>
      </c>
      <c r="C198" s="148"/>
      <c r="D198" s="148" t="s">
        <v>213</v>
      </c>
      <c r="E198" s="215"/>
      <c r="F198" s="135"/>
      <c r="G198" s="101"/>
      <c r="H198" s="100"/>
      <c r="I198" s="129"/>
      <c r="J198" s="358">
        <v>1074900</v>
      </c>
      <c r="K198" s="374"/>
      <c r="L198" s="214"/>
    </row>
    <row r="199" spans="2:12" x14ac:dyDescent="0.2">
      <c r="B199" s="324">
        <v>43369</v>
      </c>
      <c r="C199" s="148"/>
      <c r="D199" s="149" t="s">
        <v>213</v>
      </c>
      <c r="E199" s="215"/>
      <c r="F199" s="135"/>
      <c r="G199" s="101"/>
      <c r="H199" s="100"/>
      <c r="I199" s="129"/>
      <c r="J199" s="111">
        <v>1045000</v>
      </c>
      <c r="K199" s="374"/>
      <c r="L199" s="214"/>
    </row>
    <row r="200" spans="2:12" x14ac:dyDescent="0.2">
      <c r="B200" s="324">
        <v>43440</v>
      </c>
      <c r="C200" s="148"/>
      <c r="D200" s="148" t="s">
        <v>289</v>
      </c>
      <c r="E200" s="215"/>
      <c r="F200" s="135"/>
      <c r="G200" s="101"/>
      <c r="H200" s="100"/>
      <c r="I200" s="129"/>
      <c r="J200" s="111">
        <v>2128000</v>
      </c>
      <c r="K200" s="374"/>
      <c r="L200" s="214"/>
    </row>
    <row r="201" spans="2:12" x14ac:dyDescent="0.2">
      <c r="B201" s="406">
        <v>43440</v>
      </c>
      <c r="C201" s="407"/>
      <c r="D201" s="410" t="s">
        <v>302</v>
      </c>
      <c r="E201" s="215"/>
      <c r="F201" s="135"/>
      <c r="G201" s="101"/>
      <c r="H201" s="100">
        <v>5471100</v>
      </c>
      <c r="I201" s="129"/>
      <c r="J201" s="111"/>
      <c r="K201" s="374"/>
      <c r="L201" s="214"/>
    </row>
    <row r="202" spans="2:12" x14ac:dyDescent="0.2">
      <c r="B202" s="324">
        <v>43448</v>
      </c>
      <c r="C202" s="148"/>
      <c r="D202" s="148" t="s">
        <v>299</v>
      </c>
      <c r="E202" s="215"/>
      <c r="F202" s="135"/>
      <c r="G202" s="101"/>
      <c r="H202" s="100"/>
      <c r="I202" s="129"/>
      <c r="J202" s="111">
        <v>230000</v>
      </c>
      <c r="K202" s="374"/>
      <c r="L202" s="214"/>
    </row>
    <row r="203" spans="2:12" x14ac:dyDescent="0.2">
      <c r="B203" s="324">
        <v>43452</v>
      </c>
      <c r="C203" s="148"/>
      <c r="D203" s="148" t="s">
        <v>213</v>
      </c>
      <c r="E203" s="215"/>
      <c r="F203" s="135"/>
      <c r="G203" s="101"/>
      <c r="H203" s="100"/>
      <c r="I203" s="129"/>
      <c r="J203" s="111">
        <v>950000</v>
      </c>
      <c r="K203" s="374"/>
      <c r="L203" s="214"/>
    </row>
    <row r="204" spans="2:12" x14ac:dyDescent="0.2">
      <c r="B204" s="324"/>
      <c r="C204" s="148"/>
      <c r="D204" s="148"/>
      <c r="E204" s="215"/>
      <c r="F204" s="135"/>
      <c r="G204" s="101"/>
      <c r="H204" s="100"/>
      <c r="I204" s="129"/>
      <c r="J204" s="111"/>
      <c r="K204" s="374"/>
      <c r="L204" s="214"/>
    </row>
    <row r="205" spans="2:12" x14ac:dyDescent="0.2">
      <c r="B205" s="324"/>
      <c r="C205" s="148"/>
      <c r="D205" s="148"/>
      <c r="E205" s="215"/>
      <c r="F205" s="135"/>
      <c r="G205" s="101"/>
      <c r="H205" s="100"/>
      <c r="I205" s="129"/>
      <c r="J205" s="111"/>
      <c r="K205" s="374"/>
      <c r="L205" s="214"/>
    </row>
    <row r="206" spans="2:12" x14ac:dyDescent="0.2">
      <c r="B206" s="324"/>
      <c r="C206" s="148"/>
      <c r="D206" s="148"/>
      <c r="E206" s="215"/>
      <c r="F206" s="135"/>
      <c r="G206" s="101"/>
      <c r="H206" s="100"/>
      <c r="I206" s="129"/>
      <c r="J206" s="111"/>
      <c r="K206" s="374"/>
      <c r="L206" s="214"/>
    </row>
    <row r="207" spans="2:12" x14ac:dyDescent="0.2">
      <c r="B207" s="324"/>
      <c r="C207" s="148"/>
      <c r="D207" s="148"/>
      <c r="E207" s="215"/>
      <c r="F207" s="135"/>
      <c r="G207" s="101"/>
      <c r="H207" s="100"/>
      <c r="I207" s="129"/>
      <c r="J207" s="111"/>
      <c r="K207" s="374"/>
      <c r="L207" s="214"/>
    </row>
    <row r="208" spans="2:12" x14ac:dyDescent="0.2">
      <c r="B208" s="324"/>
      <c r="C208" s="148"/>
      <c r="D208" s="148"/>
      <c r="E208" s="215"/>
      <c r="F208" s="135"/>
      <c r="G208" s="101"/>
      <c r="H208" s="100"/>
      <c r="I208" s="129"/>
      <c r="J208" s="111"/>
      <c r="K208" s="374"/>
      <c r="L208" s="214"/>
    </row>
    <row r="209" spans="1:12" x14ac:dyDescent="0.2">
      <c r="B209" s="324"/>
      <c r="C209" s="148"/>
      <c r="D209" s="148"/>
      <c r="E209" s="215"/>
      <c r="F209" s="135"/>
      <c r="G209" s="101"/>
      <c r="H209" s="100"/>
      <c r="I209" s="129"/>
      <c r="J209" s="111"/>
      <c r="K209" s="374"/>
      <c r="L209" s="214"/>
    </row>
    <row r="210" spans="1:12" x14ac:dyDescent="0.2">
      <c r="B210" s="324"/>
      <c r="C210" s="148"/>
      <c r="D210" s="148"/>
      <c r="E210" s="215"/>
      <c r="F210" s="135"/>
      <c r="G210" s="101"/>
      <c r="H210" s="100"/>
      <c r="I210" s="129"/>
      <c r="J210" s="111"/>
      <c r="K210" s="374"/>
      <c r="L210" s="214"/>
    </row>
    <row r="211" spans="1:12" x14ac:dyDescent="0.2">
      <c r="B211" s="324"/>
      <c r="C211" s="148"/>
      <c r="D211" s="148"/>
      <c r="E211" s="215"/>
      <c r="F211" s="135"/>
      <c r="G211" s="101"/>
      <c r="H211" s="100"/>
      <c r="I211" s="129"/>
      <c r="J211" s="111"/>
      <c r="K211" s="374"/>
      <c r="L211" s="214"/>
    </row>
    <row r="212" spans="1:12" ht="15.75" x14ac:dyDescent="0.25">
      <c r="B212" s="322"/>
      <c r="C212" s="232">
        <v>2020120202</v>
      </c>
      <c r="D212" s="232" t="s">
        <v>61</v>
      </c>
      <c r="E212" s="234">
        <v>39298328</v>
      </c>
      <c r="F212" s="259">
        <f>SUM(F213:F340)</f>
        <v>50000000</v>
      </c>
      <c r="G212" s="259">
        <f>SUM(G213:G340)</f>
        <v>34013080</v>
      </c>
      <c r="H212" s="259">
        <f>SUM(H213:H340)</f>
        <v>0</v>
      </c>
      <c r="I212" s="236">
        <f>E212+F212+G212-H212</f>
        <v>123311408</v>
      </c>
      <c r="J212" s="259">
        <f>SUM(J213:J340)</f>
        <v>123311408</v>
      </c>
      <c r="K212" s="373">
        <f>I212-J212</f>
        <v>0</v>
      </c>
      <c r="L212" s="214"/>
    </row>
    <row r="213" spans="1:12" ht="12.75" customHeight="1" x14ac:dyDescent="0.2">
      <c r="A213" s="103">
        <v>1</v>
      </c>
      <c r="B213" s="324">
        <v>43132</v>
      </c>
      <c r="C213" s="148"/>
      <c r="D213" s="148" t="s">
        <v>158</v>
      </c>
      <c r="E213" s="215"/>
      <c r="F213" s="135"/>
      <c r="G213" s="101"/>
      <c r="H213" s="100"/>
      <c r="I213" s="129"/>
      <c r="J213" s="349">
        <v>606071</v>
      </c>
      <c r="K213" s="374"/>
      <c r="L213" s="214"/>
    </row>
    <row r="214" spans="1:12" ht="12.75" customHeight="1" x14ac:dyDescent="0.2">
      <c r="A214" s="103">
        <v>2</v>
      </c>
      <c r="B214" s="324">
        <v>43132</v>
      </c>
      <c r="C214" s="148"/>
      <c r="D214" s="148" t="s">
        <v>187</v>
      </c>
      <c r="E214" s="215"/>
      <c r="F214" s="135"/>
      <c r="G214" s="101"/>
      <c r="H214" s="100"/>
      <c r="I214" s="129"/>
      <c r="J214" s="349">
        <v>268544</v>
      </c>
      <c r="K214" s="374"/>
      <c r="L214" s="214"/>
    </row>
    <row r="215" spans="1:12" ht="12.75" customHeight="1" x14ac:dyDescent="0.2">
      <c r="A215" s="103">
        <v>3</v>
      </c>
      <c r="B215" s="324">
        <v>43145</v>
      </c>
      <c r="C215" s="148"/>
      <c r="D215" s="148" t="s">
        <v>158</v>
      </c>
      <c r="E215" s="215"/>
      <c r="F215" s="135"/>
      <c r="G215" s="101"/>
      <c r="H215" s="100"/>
      <c r="I215" s="129"/>
      <c r="J215" s="349">
        <v>909107</v>
      </c>
      <c r="K215" s="374"/>
      <c r="L215" s="111"/>
    </row>
    <row r="216" spans="1:12" ht="12.75" customHeight="1" x14ac:dyDescent="0.2">
      <c r="A216" s="103">
        <v>4</v>
      </c>
      <c r="B216" s="324">
        <v>43145</v>
      </c>
      <c r="C216" s="148"/>
      <c r="D216" s="148" t="s">
        <v>187</v>
      </c>
      <c r="E216" s="215"/>
      <c r="F216" s="135"/>
      <c r="G216" s="101"/>
      <c r="H216" s="100"/>
      <c r="I216" s="129"/>
      <c r="J216" s="349">
        <v>332816</v>
      </c>
      <c r="K216" s="374"/>
      <c r="L216" s="111"/>
    </row>
    <row r="217" spans="1:12" ht="12.75" customHeight="1" x14ac:dyDescent="0.2">
      <c r="A217" s="103">
        <v>5</v>
      </c>
      <c r="B217" s="324">
        <v>43151</v>
      </c>
      <c r="C217" s="148"/>
      <c r="D217" s="148" t="s">
        <v>158</v>
      </c>
      <c r="E217" s="215"/>
      <c r="F217" s="135"/>
      <c r="G217" s="101"/>
      <c r="H217" s="100"/>
      <c r="I217" s="129"/>
      <c r="J217" s="349">
        <v>636000</v>
      </c>
      <c r="K217" s="374"/>
      <c r="L217" s="111"/>
    </row>
    <row r="218" spans="1:12" ht="12.75" customHeight="1" x14ac:dyDescent="0.2">
      <c r="A218" s="103">
        <v>6</v>
      </c>
      <c r="B218" s="324">
        <v>43151</v>
      </c>
      <c r="C218" s="148"/>
      <c r="D218" s="148" t="s">
        <v>187</v>
      </c>
      <c r="E218" s="215"/>
      <c r="F218" s="135"/>
      <c r="G218" s="101"/>
      <c r="H218" s="100"/>
      <c r="I218" s="129"/>
      <c r="J218" s="349">
        <v>275000</v>
      </c>
      <c r="K218" s="374"/>
      <c r="L218" s="214"/>
    </row>
    <row r="219" spans="1:12" ht="12.75" customHeight="1" x14ac:dyDescent="0.2">
      <c r="A219" s="103">
        <v>7</v>
      </c>
      <c r="B219" s="324">
        <v>43151</v>
      </c>
      <c r="C219" s="148"/>
      <c r="D219" s="148" t="s">
        <v>195</v>
      </c>
      <c r="E219" s="215"/>
      <c r="F219" s="135"/>
      <c r="G219" s="101"/>
      <c r="H219" s="100"/>
      <c r="I219" s="129"/>
      <c r="J219" s="349">
        <v>1433100</v>
      </c>
      <c r="K219" s="374"/>
      <c r="L219" s="214"/>
    </row>
    <row r="220" spans="1:12" ht="12.75" customHeight="1" x14ac:dyDescent="0.2">
      <c r="A220" s="103">
        <v>8</v>
      </c>
      <c r="B220" s="324">
        <v>43151</v>
      </c>
      <c r="C220" s="148"/>
      <c r="D220" s="148" t="s">
        <v>196</v>
      </c>
      <c r="E220" s="215"/>
      <c r="F220" s="135"/>
      <c r="G220" s="101"/>
      <c r="H220" s="100"/>
      <c r="I220" s="129"/>
      <c r="J220" s="349">
        <v>1433100</v>
      </c>
      <c r="K220" s="374"/>
      <c r="L220" s="214"/>
    </row>
    <row r="221" spans="1:12" ht="12.75" customHeight="1" x14ac:dyDescent="0.2">
      <c r="A221" s="103">
        <v>9</v>
      </c>
      <c r="B221" s="324">
        <v>43151</v>
      </c>
      <c r="C221" s="148"/>
      <c r="D221" s="148" t="s">
        <v>197</v>
      </c>
      <c r="E221" s="215"/>
      <c r="F221" s="135"/>
      <c r="G221" s="101"/>
      <c r="H221" s="100"/>
      <c r="I221" s="129"/>
      <c r="J221" s="349">
        <v>1329600</v>
      </c>
      <c r="K221" s="374"/>
      <c r="L221" s="214"/>
    </row>
    <row r="222" spans="1:12" ht="12.75" customHeight="1" x14ac:dyDescent="0.2">
      <c r="A222" s="103">
        <v>10</v>
      </c>
      <c r="B222" s="324">
        <v>43152</v>
      </c>
      <c r="C222" s="148"/>
      <c r="D222" s="148" t="s">
        <v>158</v>
      </c>
      <c r="E222" s="215"/>
      <c r="F222" s="135"/>
      <c r="G222" s="101"/>
      <c r="H222" s="100"/>
      <c r="I222" s="129"/>
      <c r="J222" s="349">
        <v>2235330</v>
      </c>
      <c r="K222" s="374"/>
      <c r="L222" s="214"/>
    </row>
    <row r="223" spans="1:12" ht="12.75" customHeight="1" x14ac:dyDescent="0.2">
      <c r="A223" s="103">
        <v>11</v>
      </c>
      <c r="B223" s="324">
        <v>43154</v>
      </c>
      <c r="C223" s="148"/>
      <c r="D223" s="148" t="s">
        <v>198</v>
      </c>
      <c r="E223" s="215"/>
      <c r="F223" s="135"/>
      <c r="G223" s="101"/>
      <c r="H223" s="100"/>
      <c r="I223" s="129"/>
      <c r="J223" s="349">
        <v>1044500</v>
      </c>
      <c r="K223" s="374"/>
      <c r="L223" s="214"/>
    </row>
    <row r="224" spans="1:12" ht="12.75" customHeight="1" x14ac:dyDescent="0.2">
      <c r="A224" s="103">
        <v>12</v>
      </c>
      <c r="B224" s="324">
        <v>43154</v>
      </c>
      <c r="C224" s="148"/>
      <c r="D224" s="148" t="s">
        <v>158</v>
      </c>
      <c r="E224" s="215"/>
      <c r="F224" s="135"/>
      <c r="G224" s="101"/>
      <c r="H224" s="100"/>
      <c r="I224" s="129"/>
      <c r="J224" s="349">
        <v>2644000</v>
      </c>
      <c r="K224" s="374"/>
      <c r="L224" s="214"/>
    </row>
    <row r="225" spans="1:12" ht="12.75" customHeight="1" x14ac:dyDescent="0.2">
      <c r="A225" s="103">
        <v>13</v>
      </c>
      <c r="B225" s="324">
        <v>43154</v>
      </c>
      <c r="C225" s="148"/>
      <c r="D225" s="148" t="s">
        <v>187</v>
      </c>
      <c r="E225" s="215"/>
      <c r="F225" s="135"/>
      <c r="G225" s="101"/>
      <c r="H225" s="100"/>
      <c r="I225" s="129"/>
      <c r="J225" s="349">
        <v>270000</v>
      </c>
      <c r="K225" s="374"/>
      <c r="L225" s="214"/>
    </row>
    <row r="226" spans="1:12" ht="12.75" customHeight="1" x14ac:dyDescent="0.2">
      <c r="A226" s="103">
        <v>14</v>
      </c>
      <c r="B226" s="324">
        <v>43172</v>
      </c>
      <c r="C226" s="148"/>
      <c r="D226" s="148" t="s">
        <v>187</v>
      </c>
      <c r="E226" s="215"/>
      <c r="F226" s="135"/>
      <c r="G226" s="101"/>
      <c r="H226" s="100"/>
      <c r="I226" s="129"/>
      <c r="J226" s="349">
        <v>462500</v>
      </c>
      <c r="K226" s="374"/>
      <c r="L226" s="214"/>
    </row>
    <row r="227" spans="1:12" ht="12.75" customHeight="1" x14ac:dyDescent="0.2">
      <c r="A227" s="103">
        <v>15</v>
      </c>
      <c r="B227" s="324">
        <v>42810</v>
      </c>
      <c r="C227" s="148"/>
      <c r="D227" s="148" t="s">
        <v>196</v>
      </c>
      <c r="E227" s="215"/>
      <c r="F227" s="135"/>
      <c r="G227" s="101"/>
      <c r="H227" s="100"/>
      <c r="I227" s="129"/>
      <c r="J227" s="349">
        <v>1945000</v>
      </c>
      <c r="K227" s="374"/>
      <c r="L227" s="214"/>
    </row>
    <row r="228" spans="1:12" ht="12.75" customHeight="1" x14ac:dyDescent="0.2">
      <c r="A228" s="103">
        <v>16</v>
      </c>
      <c r="B228" s="324">
        <v>42820</v>
      </c>
      <c r="C228" s="148"/>
      <c r="D228" s="148" t="s">
        <v>198</v>
      </c>
      <c r="E228" s="215"/>
      <c r="F228" s="135"/>
      <c r="G228" s="101"/>
      <c r="H228" s="100"/>
      <c r="I228" s="129"/>
      <c r="J228" s="349">
        <v>2263000</v>
      </c>
      <c r="K228" s="374"/>
      <c r="L228" s="214"/>
    </row>
    <row r="229" spans="1:12" ht="12.75" customHeight="1" x14ac:dyDescent="0.2">
      <c r="A229" s="103">
        <v>17</v>
      </c>
      <c r="B229" s="324">
        <v>42820</v>
      </c>
      <c r="C229" s="148"/>
      <c r="D229" s="148" t="s">
        <v>196</v>
      </c>
      <c r="E229" s="215"/>
      <c r="F229" s="135"/>
      <c r="G229" s="101"/>
      <c r="H229" s="100"/>
      <c r="I229" s="129"/>
      <c r="J229" s="349">
        <v>2011000</v>
      </c>
      <c r="K229" s="374"/>
      <c r="L229" s="214"/>
    </row>
    <row r="230" spans="1:12" ht="12.75" customHeight="1" x14ac:dyDescent="0.2">
      <c r="A230" s="103">
        <v>18</v>
      </c>
      <c r="B230" s="324">
        <v>42820</v>
      </c>
      <c r="C230" s="148"/>
      <c r="D230" s="148" t="s">
        <v>195</v>
      </c>
      <c r="E230" s="215"/>
      <c r="F230" s="135"/>
      <c r="G230" s="101"/>
      <c r="H230" s="100"/>
      <c r="I230" s="129"/>
      <c r="J230" s="349">
        <v>2011000</v>
      </c>
      <c r="K230" s="374"/>
      <c r="L230" s="214"/>
    </row>
    <row r="231" spans="1:12" ht="12.75" customHeight="1" x14ac:dyDescent="0.2">
      <c r="A231" s="103">
        <v>19</v>
      </c>
      <c r="B231" s="324">
        <v>42820</v>
      </c>
      <c r="C231" s="148"/>
      <c r="D231" s="148" t="s">
        <v>197</v>
      </c>
      <c r="E231" s="215"/>
      <c r="F231" s="135"/>
      <c r="G231" s="101"/>
      <c r="H231" s="100"/>
      <c r="I231" s="129"/>
      <c r="J231" s="349">
        <v>1750000</v>
      </c>
      <c r="K231" s="374"/>
      <c r="L231" s="214"/>
    </row>
    <row r="232" spans="1:12" ht="12.75" customHeight="1" x14ac:dyDescent="0.2">
      <c r="B232" s="324">
        <v>43193</v>
      </c>
      <c r="C232" s="148"/>
      <c r="D232" s="318" t="s">
        <v>216</v>
      </c>
      <c r="E232" s="215"/>
      <c r="F232" s="135">
        <v>50000000</v>
      </c>
      <c r="G232" s="101"/>
      <c r="H232" s="100"/>
      <c r="I232" s="129"/>
      <c r="J232" s="349"/>
      <c r="K232" s="374"/>
      <c r="L232" s="135"/>
    </row>
    <row r="233" spans="1:12" ht="12.75" customHeight="1" x14ac:dyDescent="0.2">
      <c r="A233" s="103">
        <v>20</v>
      </c>
      <c r="B233" s="324">
        <v>43194</v>
      </c>
      <c r="C233" s="148"/>
      <c r="D233" s="148" t="s">
        <v>158</v>
      </c>
      <c r="E233" s="215"/>
      <c r="F233" s="135"/>
      <c r="G233" s="101"/>
      <c r="H233" s="100"/>
      <c r="I233" s="129"/>
      <c r="J233" s="349">
        <v>313000</v>
      </c>
      <c r="K233" s="374"/>
      <c r="L233" s="214"/>
    </row>
    <row r="234" spans="1:12" ht="12.75" customHeight="1" x14ac:dyDescent="0.2">
      <c r="A234" s="103">
        <v>21</v>
      </c>
      <c r="B234" s="324">
        <v>43194</v>
      </c>
      <c r="C234" s="148"/>
      <c r="D234" s="148" t="s">
        <v>187</v>
      </c>
      <c r="E234" s="215"/>
      <c r="F234" s="135"/>
      <c r="G234" s="101"/>
      <c r="H234" s="100"/>
      <c r="I234" s="129"/>
      <c r="J234" s="349">
        <v>67500</v>
      </c>
      <c r="K234" s="374"/>
      <c r="L234" s="111"/>
    </row>
    <row r="235" spans="1:12" ht="12.75" customHeight="1" x14ac:dyDescent="0.2">
      <c r="A235" s="103">
        <v>22</v>
      </c>
      <c r="B235" s="324">
        <v>43195</v>
      </c>
      <c r="C235" s="148"/>
      <c r="D235" s="148" t="s">
        <v>158</v>
      </c>
      <c r="E235" s="215"/>
      <c r="F235" s="135"/>
      <c r="G235" s="101"/>
      <c r="H235" s="100"/>
      <c r="I235" s="129"/>
      <c r="J235" s="349">
        <v>1054000</v>
      </c>
      <c r="K235" s="374"/>
      <c r="L235" s="111"/>
    </row>
    <row r="236" spans="1:12" ht="12.75" customHeight="1" x14ac:dyDescent="0.2">
      <c r="A236" s="103">
        <v>23</v>
      </c>
      <c r="B236" s="324">
        <v>43206</v>
      </c>
      <c r="C236" s="148"/>
      <c r="D236" s="148" t="s">
        <v>198</v>
      </c>
      <c r="E236" s="215"/>
      <c r="F236" s="135"/>
      <c r="G236" s="101"/>
      <c r="H236" s="100"/>
      <c r="I236" s="129"/>
      <c r="J236" s="349">
        <v>494000</v>
      </c>
      <c r="K236" s="374"/>
      <c r="L236" s="214"/>
    </row>
    <row r="237" spans="1:12" ht="12.75" customHeight="1" x14ac:dyDescent="0.2">
      <c r="A237" s="103">
        <v>24</v>
      </c>
      <c r="B237" s="324">
        <v>43206</v>
      </c>
      <c r="C237" s="148"/>
      <c r="D237" s="148" t="s">
        <v>196</v>
      </c>
      <c r="E237" s="215"/>
      <c r="F237" s="135"/>
      <c r="G237" s="101"/>
      <c r="H237" s="100"/>
      <c r="I237" s="129"/>
      <c r="J237" s="349">
        <v>438000</v>
      </c>
      <c r="K237" s="374"/>
      <c r="L237" s="214"/>
    </row>
    <row r="238" spans="1:12" ht="12.75" customHeight="1" x14ac:dyDescent="0.2">
      <c r="A238" s="103">
        <v>25</v>
      </c>
      <c r="B238" s="324">
        <v>43206</v>
      </c>
      <c r="C238" s="148"/>
      <c r="D238" s="148" t="s">
        <v>195</v>
      </c>
      <c r="E238" s="215"/>
      <c r="F238" s="135"/>
      <c r="G238" s="101"/>
      <c r="H238" s="100"/>
      <c r="I238" s="129"/>
      <c r="J238" s="349">
        <v>438000</v>
      </c>
      <c r="K238" s="374"/>
      <c r="L238" s="214"/>
    </row>
    <row r="239" spans="1:12" ht="12.75" customHeight="1" x14ac:dyDescent="0.2">
      <c r="A239" s="103">
        <v>26</v>
      </c>
      <c r="B239" s="324">
        <v>43206</v>
      </c>
      <c r="C239" s="148"/>
      <c r="D239" s="148" t="s">
        <v>197</v>
      </c>
      <c r="E239" s="215"/>
      <c r="F239" s="135"/>
      <c r="G239" s="101"/>
      <c r="H239" s="100"/>
      <c r="I239" s="129"/>
      <c r="J239" s="349">
        <v>380000</v>
      </c>
      <c r="K239" s="374"/>
      <c r="L239" s="214"/>
    </row>
    <row r="240" spans="1:12" ht="12.75" customHeight="1" x14ac:dyDescent="0.2">
      <c r="A240" s="103">
        <v>27</v>
      </c>
      <c r="B240" s="324">
        <v>43207</v>
      </c>
      <c r="C240" s="148"/>
      <c r="D240" s="148" t="s">
        <v>222</v>
      </c>
      <c r="E240" s="215"/>
      <c r="F240" s="135"/>
      <c r="G240" s="101"/>
      <c r="H240" s="100"/>
      <c r="I240" s="129"/>
      <c r="J240" s="349">
        <v>372500</v>
      </c>
      <c r="K240" s="374"/>
      <c r="L240" s="214"/>
    </row>
    <row r="241" spans="1:12" ht="12.75" customHeight="1" x14ac:dyDescent="0.2">
      <c r="A241" s="103">
        <v>28</v>
      </c>
      <c r="B241" s="324">
        <v>43215</v>
      </c>
      <c r="C241" s="148"/>
      <c r="D241" s="148" t="s">
        <v>222</v>
      </c>
      <c r="E241" s="215"/>
      <c r="F241" s="135"/>
      <c r="G241" s="101"/>
      <c r="H241" s="100"/>
      <c r="I241" s="129"/>
      <c r="J241" s="349">
        <v>129500</v>
      </c>
      <c r="K241" s="374"/>
      <c r="L241" s="214"/>
    </row>
    <row r="242" spans="1:12" ht="12.75" customHeight="1" x14ac:dyDescent="0.2">
      <c r="A242" s="103">
        <v>29</v>
      </c>
      <c r="B242" s="324">
        <v>43222</v>
      </c>
      <c r="C242" s="148"/>
      <c r="D242" s="148" t="s">
        <v>158</v>
      </c>
      <c r="E242" s="215"/>
      <c r="F242" s="135"/>
      <c r="G242" s="101"/>
      <c r="H242" s="100"/>
      <c r="I242" s="129"/>
      <c r="J242" s="349">
        <v>1590000</v>
      </c>
      <c r="K242" s="374"/>
      <c r="L242" s="214"/>
    </row>
    <row r="243" spans="1:12" x14ac:dyDescent="0.2">
      <c r="A243" s="103">
        <v>30</v>
      </c>
      <c r="B243" s="324">
        <v>43222</v>
      </c>
      <c r="C243" s="148"/>
      <c r="D243" s="148" t="s">
        <v>160</v>
      </c>
      <c r="E243" s="215"/>
      <c r="F243" s="135"/>
      <c r="G243" s="101"/>
      <c r="H243" s="100"/>
      <c r="I243" s="129"/>
      <c r="J243" s="349">
        <v>617500</v>
      </c>
      <c r="K243" s="374"/>
      <c r="L243" s="214"/>
    </row>
    <row r="244" spans="1:12" ht="12.75" customHeight="1" x14ac:dyDescent="0.2">
      <c r="A244" s="103">
        <v>31</v>
      </c>
      <c r="B244" s="324">
        <v>43222</v>
      </c>
      <c r="C244" s="148"/>
      <c r="D244" s="148" t="s">
        <v>187</v>
      </c>
      <c r="E244" s="215"/>
      <c r="F244" s="135"/>
      <c r="G244" s="101"/>
      <c r="H244" s="100"/>
      <c r="I244" s="129"/>
      <c r="J244" s="349">
        <v>457500</v>
      </c>
      <c r="K244" s="374"/>
      <c r="L244" s="214"/>
    </row>
    <row r="245" spans="1:12" ht="12.75" customHeight="1" x14ac:dyDescent="0.2">
      <c r="A245" s="103">
        <v>29</v>
      </c>
      <c r="B245" s="324">
        <v>43224</v>
      </c>
      <c r="C245" s="148"/>
      <c r="D245" s="148" t="s">
        <v>158</v>
      </c>
      <c r="E245" s="215"/>
      <c r="F245" s="135"/>
      <c r="G245" s="101"/>
      <c r="H245" s="100"/>
      <c r="I245" s="129"/>
      <c r="J245" s="349">
        <v>636000</v>
      </c>
      <c r="K245" s="374"/>
      <c r="L245" s="214"/>
    </row>
    <row r="246" spans="1:12" ht="12.75" customHeight="1" x14ac:dyDescent="0.2">
      <c r="B246" s="324">
        <v>43231</v>
      </c>
      <c r="C246" s="148"/>
      <c r="D246" s="148" t="s">
        <v>227</v>
      </c>
      <c r="E246" s="215"/>
      <c r="F246" s="135"/>
      <c r="G246" s="101"/>
      <c r="H246" s="100"/>
      <c r="I246" s="129"/>
      <c r="J246" s="349">
        <v>1457310</v>
      </c>
      <c r="K246" s="374"/>
      <c r="L246" s="214"/>
    </row>
    <row r="247" spans="1:12" ht="12.75" customHeight="1" x14ac:dyDescent="0.2">
      <c r="B247" s="324">
        <v>43231</v>
      </c>
      <c r="C247" s="148"/>
      <c r="D247" s="148" t="s">
        <v>228</v>
      </c>
      <c r="E247" s="215"/>
      <c r="F247" s="135"/>
      <c r="G247" s="101"/>
      <c r="H247" s="100"/>
      <c r="I247" s="129"/>
      <c r="J247" s="349">
        <v>1442840</v>
      </c>
      <c r="K247" s="374"/>
      <c r="L247" s="214"/>
    </row>
    <row r="248" spans="1:12" ht="12.75" customHeight="1" x14ac:dyDescent="0.2">
      <c r="A248" s="103">
        <v>32</v>
      </c>
      <c r="B248" s="324">
        <v>43235</v>
      </c>
      <c r="C248" s="148"/>
      <c r="D248" s="148" t="s">
        <v>158</v>
      </c>
      <c r="E248" s="215"/>
      <c r="F248" s="135"/>
      <c r="G248" s="101"/>
      <c r="H248" s="100"/>
      <c r="I248" s="129"/>
      <c r="J248" s="349">
        <v>2724400</v>
      </c>
      <c r="K248" s="374"/>
      <c r="L248" s="214"/>
    </row>
    <row r="249" spans="1:12" ht="12.75" customHeight="1" x14ac:dyDescent="0.2">
      <c r="A249" s="103">
        <v>33</v>
      </c>
      <c r="B249" s="324">
        <v>43235</v>
      </c>
      <c r="C249" s="148"/>
      <c r="D249" s="148" t="s">
        <v>197</v>
      </c>
      <c r="E249" s="215"/>
      <c r="F249" s="135"/>
      <c r="G249" s="101"/>
      <c r="H249" s="100"/>
      <c r="I249" s="129"/>
      <c r="J249" s="349">
        <v>845000</v>
      </c>
      <c r="K249" s="374"/>
      <c r="L249" s="214"/>
    </row>
    <row r="250" spans="1:12" ht="12.75" customHeight="1" x14ac:dyDescent="0.2">
      <c r="A250" s="103">
        <v>34</v>
      </c>
      <c r="B250" s="324">
        <v>43235</v>
      </c>
      <c r="C250" s="148"/>
      <c r="D250" s="148" t="s">
        <v>195</v>
      </c>
      <c r="E250" s="215"/>
      <c r="F250" s="135"/>
      <c r="G250" s="101"/>
      <c r="H250" s="100"/>
      <c r="I250" s="129"/>
      <c r="J250" s="349">
        <v>946500</v>
      </c>
      <c r="K250" s="374"/>
      <c r="L250" s="214"/>
    </row>
    <row r="251" spans="1:12" ht="12.75" customHeight="1" x14ac:dyDescent="0.2">
      <c r="A251" s="103">
        <v>35</v>
      </c>
      <c r="B251" s="324">
        <v>43235</v>
      </c>
      <c r="C251" s="148"/>
      <c r="D251" s="148" t="s">
        <v>196</v>
      </c>
      <c r="E251" s="215"/>
      <c r="F251" s="135"/>
      <c r="G251" s="101"/>
      <c r="H251" s="100"/>
      <c r="I251" s="129"/>
      <c r="J251" s="349">
        <v>946500</v>
      </c>
      <c r="K251" s="374"/>
      <c r="L251" s="214"/>
    </row>
    <row r="252" spans="1:12" ht="12.75" customHeight="1" x14ac:dyDescent="0.2">
      <c r="A252" s="103">
        <v>36</v>
      </c>
      <c r="B252" s="324">
        <v>43235</v>
      </c>
      <c r="C252" s="148"/>
      <c r="D252" s="148" t="s">
        <v>198</v>
      </c>
      <c r="E252" s="215"/>
      <c r="F252" s="135"/>
      <c r="G252" s="101"/>
      <c r="H252" s="100"/>
      <c r="I252" s="129"/>
      <c r="J252" s="349">
        <v>1044500</v>
      </c>
      <c r="K252" s="374"/>
      <c r="L252" s="214"/>
    </row>
    <row r="253" spans="1:12" ht="12.75" customHeight="1" x14ac:dyDescent="0.2">
      <c r="A253" s="103">
        <v>37</v>
      </c>
      <c r="B253" s="324">
        <v>43241</v>
      </c>
      <c r="C253" s="148"/>
      <c r="D253" s="148" t="s">
        <v>158</v>
      </c>
      <c r="E253" s="215"/>
      <c r="F253" s="135"/>
      <c r="G253" s="101"/>
      <c r="H253" s="100"/>
      <c r="I253" s="129"/>
      <c r="J253" s="349">
        <v>636000</v>
      </c>
      <c r="K253" s="374"/>
      <c r="L253" s="214"/>
    </row>
    <row r="254" spans="1:12" ht="12.75" customHeight="1" x14ac:dyDescent="0.2">
      <c r="A254" s="103">
        <v>38</v>
      </c>
      <c r="B254" s="324">
        <v>43241</v>
      </c>
      <c r="C254" s="148"/>
      <c r="D254" s="148" t="s">
        <v>187</v>
      </c>
      <c r="E254" s="215"/>
      <c r="F254" s="135"/>
      <c r="G254" s="101"/>
      <c r="H254" s="100"/>
      <c r="I254" s="129"/>
      <c r="J254" s="349">
        <v>275000</v>
      </c>
      <c r="K254" s="374"/>
      <c r="L254" s="111"/>
    </row>
    <row r="255" spans="1:12" ht="12.75" customHeight="1" x14ac:dyDescent="0.2">
      <c r="A255" s="103">
        <v>39</v>
      </c>
      <c r="B255" s="324">
        <v>43249</v>
      </c>
      <c r="C255" s="148"/>
      <c r="D255" s="148" t="s">
        <v>235</v>
      </c>
      <c r="E255" s="215"/>
      <c r="F255" s="135"/>
      <c r="G255" s="101"/>
      <c r="H255" s="100"/>
      <c r="I255" s="129"/>
      <c r="J255" s="349">
        <v>1044500</v>
      </c>
      <c r="K255" s="374"/>
      <c r="L255" s="214"/>
    </row>
    <row r="256" spans="1:12" x14ac:dyDescent="0.2">
      <c r="A256" s="103">
        <v>40</v>
      </c>
      <c r="B256" s="324">
        <v>43249</v>
      </c>
      <c r="C256" s="148"/>
      <c r="D256" s="148" t="s">
        <v>160</v>
      </c>
      <c r="E256" s="215"/>
      <c r="F256" s="135"/>
      <c r="G256" s="101"/>
      <c r="H256" s="100"/>
      <c r="I256" s="129"/>
      <c r="J256" s="349">
        <v>1044500</v>
      </c>
      <c r="K256" s="374"/>
      <c r="L256" s="214"/>
    </row>
    <row r="257" spans="1:12" ht="12.75" customHeight="1" x14ac:dyDescent="0.2">
      <c r="A257" s="103">
        <v>41</v>
      </c>
      <c r="B257" s="324">
        <v>43249</v>
      </c>
      <c r="C257" s="148"/>
      <c r="D257" s="148" t="s">
        <v>222</v>
      </c>
      <c r="E257" s="215"/>
      <c r="F257" s="135"/>
      <c r="G257" s="101"/>
      <c r="H257" s="100"/>
      <c r="I257" s="129"/>
      <c r="J257" s="349">
        <v>946500</v>
      </c>
      <c r="K257" s="374"/>
      <c r="L257" s="214"/>
    </row>
    <row r="258" spans="1:12" ht="12.75" customHeight="1" x14ac:dyDescent="0.2">
      <c r="A258" s="103">
        <v>42</v>
      </c>
      <c r="B258" s="324">
        <v>43249</v>
      </c>
      <c r="C258" s="148"/>
      <c r="D258" s="148" t="s">
        <v>158</v>
      </c>
      <c r="E258" s="215"/>
      <c r="F258" s="135"/>
      <c r="G258" s="101"/>
      <c r="H258" s="100"/>
      <c r="I258" s="129"/>
      <c r="J258" s="349">
        <v>736000</v>
      </c>
      <c r="K258" s="374"/>
      <c r="L258" s="214"/>
    </row>
    <row r="259" spans="1:12" ht="12.75" customHeight="1" x14ac:dyDescent="0.2">
      <c r="B259" s="324">
        <v>43258</v>
      </c>
      <c r="C259" s="148"/>
      <c r="D259" s="148" t="s">
        <v>238</v>
      </c>
      <c r="E259" s="215"/>
      <c r="F259" s="135"/>
      <c r="G259" s="101"/>
      <c r="H259" s="100"/>
      <c r="I259" s="129"/>
      <c r="J259" s="349">
        <v>595960</v>
      </c>
      <c r="K259" s="374"/>
      <c r="L259" s="214"/>
    </row>
    <row r="260" spans="1:12" ht="12.75" customHeight="1" x14ac:dyDescent="0.2">
      <c r="B260" s="324">
        <v>43255</v>
      </c>
      <c r="C260" s="148"/>
      <c r="D260" s="148" t="s">
        <v>244</v>
      </c>
      <c r="E260" s="215"/>
      <c r="F260" s="135"/>
      <c r="G260" s="101"/>
      <c r="H260" s="100"/>
      <c r="I260" s="129"/>
      <c r="J260" s="350">
        <v>-480947</v>
      </c>
      <c r="K260" s="374"/>
      <c r="L260" s="214"/>
    </row>
    <row r="261" spans="1:12" ht="12.75" customHeight="1" x14ac:dyDescent="0.2">
      <c r="A261" s="103">
        <v>43</v>
      </c>
      <c r="B261" s="324">
        <v>43259</v>
      </c>
      <c r="C261" s="148"/>
      <c r="D261" s="148" t="s">
        <v>158</v>
      </c>
      <c r="E261" s="215"/>
      <c r="F261" s="135"/>
      <c r="G261" s="101"/>
      <c r="H261" s="100"/>
      <c r="I261" s="129"/>
      <c r="J261" s="349">
        <v>3498000</v>
      </c>
      <c r="K261" s="374"/>
      <c r="L261" s="214"/>
    </row>
    <row r="262" spans="1:12" ht="12.75" customHeight="1" x14ac:dyDescent="0.2">
      <c r="A262" s="103">
        <v>44</v>
      </c>
      <c r="B262" s="324">
        <v>43259</v>
      </c>
      <c r="C262" s="148"/>
      <c r="D262" s="148" t="s">
        <v>235</v>
      </c>
      <c r="E262" s="215"/>
      <c r="F262" s="135"/>
      <c r="G262" s="101"/>
      <c r="H262" s="100"/>
      <c r="I262" s="129"/>
      <c r="J262" s="349">
        <v>717500</v>
      </c>
      <c r="K262" s="374"/>
      <c r="L262" s="214"/>
    </row>
    <row r="263" spans="1:12" x14ac:dyDescent="0.2">
      <c r="A263" s="103">
        <v>45</v>
      </c>
      <c r="B263" s="324">
        <v>43259</v>
      </c>
      <c r="C263" s="148"/>
      <c r="D263" s="148" t="s">
        <v>160</v>
      </c>
      <c r="E263" s="215"/>
      <c r="F263" s="135"/>
      <c r="G263" s="101"/>
      <c r="H263" s="100"/>
      <c r="I263" s="129"/>
      <c r="J263" s="349">
        <v>717500</v>
      </c>
      <c r="K263" s="374"/>
      <c r="L263" s="214"/>
    </row>
    <row r="264" spans="1:12" ht="12.75" customHeight="1" x14ac:dyDescent="0.2">
      <c r="A264" s="103">
        <v>46</v>
      </c>
      <c r="B264" s="324">
        <v>43265</v>
      </c>
      <c r="C264" s="148"/>
      <c r="D264" s="148" t="s">
        <v>187</v>
      </c>
      <c r="E264" s="215"/>
      <c r="F264" s="135"/>
      <c r="G264" s="101"/>
      <c r="H264" s="100"/>
      <c r="I264" s="129"/>
      <c r="J264" s="349">
        <v>472500</v>
      </c>
      <c r="K264" s="374"/>
      <c r="L264" s="214"/>
    </row>
    <row r="265" spans="1:12" ht="12.75" customHeight="1" x14ac:dyDescent="0.2">
      <c r="A265" s="103">
        <v>47</v>
      </c>
      <c r="B265" s="324">
        <v>43273</v>
      </c>
      <c r="C265" s="148"/>
      <c r="D265" s="148" t="s">
        <v>158</v>
      </c>
      <c r="E265" s="215"/>
      <c r="F265" s="135"/>
      <c r="G265" s="101"/>
      <c r="H265" s="100"/>
      <c r="I265" s="129"/>
      <c r="J265" s="349">
        <v>736000</v>
      </c>
      <c r="K265" s="374"/>
      <c r="L265" s="214"/>
    </row>
    <row r="266" spans="1:12" ht="12.75" customHeight="1" x14ac:dyDescent="0.2">
      <c r="A266" s="103">
        <v>48</v>
      </c>
      <c r="B266" s="324">
        <v>43285</v>
      </c>
      <c r="C266" s="148"/>
      <c r="D266" s="148" t="s">
        <v>158</v>
      </c>
      <c r="E266" s="215"/>
      <c r="F266" s="135"/>
      <c r="G266" s="101"/>
      <c r="H266" s="100"/>
      <c r="I266" s="129"/>
      <c r="J266" s="349">
        <v>1272000</v>
      </c>
      <c r="K266" s="374"/>
      <c r="L266" s="214"/>
    </row>
    <row r="267" spans="1:12" ht="12.75" customHeight="1" x14ac:dyDescent="0.2">
      <c r="A267" s="103">
        <v>49</v>
      </c>
      <c r="B267" s="324">
        <v>43285</v>
      </c>
      <c r="C267" s="148"/>
      <c r="D267" s="148" t="s">
        <v>187</v>
      </c>
      <c r="E267" s="215"/>
      <c r="F267" s="135"/>
      <c r="G267" s="101"/>
      <c r="H267" s="100"/>
      <c r="I267" s="129"/>
      <c r="J267" s="349">
        <v>410000</v>
      </c>
      <c r="K267" s="374"/>
      <c r="L267" s="214"/>
    </row>
    <row r="268" spans="1:12" ht="12.75" customHeight="1" x14ac:dyDescent="0.2">
      <c r="A268" s="103">
        <v>50</v>
      </c>
      <c r="B268" s="324">
        <v>43293</v>
      </c>
      <c r="C268" s="148"/>
      <c r="D268" s="148" t="s">
        <v>158</v>
      </c>
      <c r="E268" s="215"/>
      <c r="F268" s="135"/>
      <c r="G268" s="101"/>
      <c r="H268" s="100"/>
      <c r="I268" s="129"/>
      <c r="J268" s="349">
        <v>954000</v>
      </c>
      <c r="K268" s="374"/>
      <c r="L268" s="214"/>
    </row>
    <row r="269" spans="1:12" ht="12.75" customHeight="1" x14ac:dyDescent="0.2">
      <c r="A269" s="103">
        <v>51</v>
      </c>
      <c r="B269" s="324">
        <v>43293</v>
      </c>
      <c r="C269" s="148"/>
      <c r="D269" s="148" t="s">
        <v>187</v>
      </c>
      <c r="E269" s="215"/>
      <c r="F269" s="135"/>
      <c r="G269" s="101"/>
      <c r="H269" s="100"/>
      <c r="I269" s="129"/>
      <c r="J269" s="349">
        <v>342500</v>
      </c>
      <c r="K269" s="374"/>
      <c r="L269" s="214"/>
    </row>
    <row r="270" spans="1:12" ht="12.75" customHeight="1" x14ac:dyDescent="0.2">
      <c r="A270" s="103">
        <v>52</v>
      </c>
      <c r="B270" s="324">
        <v>43294</v>
      </c>
      <c r="C270" s="148"/>
      <c r="D270" s="148" t="s">
        <v>158</v>
      </c>
      <c r="E270" s="215"/>
      <c r="F270" s="135"/>
      <c r="G270" s="101"/>
      <c r="H270" s="100"/>
      <c r="I270" s="129"/>
      <c r="J270" s="349">
        <v>636000</v>
      </c>
      <c r="K270" s="374"/>
      <c r="L270" s="214"/>
    </row>
    <row r="271" spans="1:12" ht="12.75" customHeight="1" x14ac:dyDescent="0.2">
      <c r="A271" s="103">
        <v>53</v>
      </c>
      <c r="B271" s="324">
        <v>43294</v>
      </c>
      <c r="C271" s="148"/>
      <c r="D271" s="148" t="s">
        <v>187</v>
      </c>
      <c r="E271" s="215"/>
      <c r="F271" s="135"/>
      <c r="G271" s="101"/>
      <c r="H271" s="100"/>
      <c r="I271" s="129"/>
      <c r="J271" s="349">
        <v>135000</v>
      </c>
      <c r="K271" s="374"/>
      <c r="L271" s="214"/>
    </row>
    <row r="272" spans="1:12" ht="12.75" customHeight="1" x14ac:dyDescent="0.2">
      <c r="A272" s="103">
        <v>54</v>
      </c>
      <c r="B272" s="324">
        <v>43298</v>
      </c>
      <c r="C272" s="148"/>
      <c r="D272" s="148" t="s">
        <v>198</v>
      </c>
      <c r="E272" s="215"/>
      <c r="F272" s="135"/>
      <c r="G272" s="101"/>
      <c r="H272" s="100"/>
      <c r="I272" s="129"/>
      <c r="J272" s="349">
        <v>921000</v>
      </c>
      <c r="K272" s="374"/>
      <c r="L272" s="214"/>
    </row>
    <row r="273" spans="1:12" ht="12.75" customHeight="1" x14ac:dyDescent="0.2">
      <c r="A273" s="103">
        <v>55</v>
      </c>
      <c r="B273" s="324">
        <v>43300</v>
      </c>
      <c r="C273" s="148"/>
      <c r="D273" s="148" t="s">
        <v>196</v>
      </c>
      <c r="E273" s="215"/>
      <c r="F273" s="135"/>
      <c r="G273" s="101"/>
      <c r="H273" s="100"/>
      <c r="I273" s="129"/>
      <c r="J273" s="349">
        <v>2059000</v>
      </c>
      <c r="K273" s="374"/>
      <c r="L273" s="214"/>
    </row>
    <row r="274" spans="1:12" ht="12.75" customHeight="1" x14ac:dyDescent="0.2">
      <c r="A274" s="103">
        <v>56</v>
      </c>
      <c r="B274" s="324">
        <v>43300</v>
      </c>
      <c r="C274" s="148"/>
      <c r="D274" s="148" t="s">
        <v>195</v>
      </c>
      <c r="E274" s="215"/>
      <c r="F274" s="135"/>
      <c r="G274" s="101"/>
      <c r="H274" s="100"/>
      <c r="I274" s="129"/>
      <c r="J274" s="349">
        <v>2059000</v>
      </c>
      <c r="K274" s="374"/>
      <c r="L274" s="214"/>
    </row>
    <row r="275" spans="1:12" ht="12.75" customHeight="1" x14ac:dyDescent="0.2">
      <c r="A275" s="103">
        <v>57</v>
      </c>
      <c r="B275" s="324">
        <v>43300</v>
      </c>
      <c r="C275" s="148"/>
      <c r="D275" s="148" t="s">
        <v>197</v>
      </c>
      <c r="E275" s="215"/>
      <c r="F275" s="135"/>
      <c r="G275" s="101"/>
      <c r="H275" s="100"/>
      <c r="I275" s="129"/>
      <c r="J275" s="349">
        <v>1798000</v>
      </c>
      <c r="K275" s="374"/>
      <c r="L275" s="349"/>
    </row>
    <row r="276" spans="1:12" ht="12.75" customHeight="1" x14ac:dyDescent="0.2">
      <c r="A276" s="103">
        <v>58</v>
      </c>
      <c r="B276" s="324">
        <v>43300</v>
      </c>
      <c r="C276" s="148"/>
      <c r="D276" s="148" t="s">
        <v>198</v>
      </c>
      <c r="E276" s="215"/>
      <c r="F276" s="135"/>
      <c r="G276" s="101"/>
      <c r="H276" s="100"/>
      <c r="I276" s="129"/>
      <c r="J276" s="349">
        <v>2311000</v>
      </c>
      <c r="K276" s="374"/>
      <c r="L276" s="214"/>
    </row>
    <row r="277" spans="1:12" ht="12.75" customHeight="1" x14ac:dyDescent="0.2">
      <c r="A277" s="103">
        <v>59</v>
      </c>
      <c r="B277" s="324">
        <v>43305</v>
      </c>
      <c r="C277" s="148"/>
      <c r="D277" s="148" t="s">
        <v>158</v>
      </c>
      <c r="E277" s="215"/>
      <c r="F277" s="135"/>
      <c r="G277" s="101"/>
      <c r="H277" s="100"/>
      <c r="I277" s="129"/>
      <c r="J277" s="349">
        <v>2226000</v>
      </c>
      <c r="K277" s="374"/>
      <c r="L277" s="214"/>
    </row>
    <row r="278" spans="1:12" ht="12.75" customHeight="1" x14ac:dyDescent="0.2">
      <c r="A278" s="103">
        <v>60</v>
      </c>
      <c r="B278" s="324">
        <v>43305</v>
      </c>
      <c r="C278" s="148"/>
      <c r="D278" s="148" t="s">
        <v>222</v>
      </c>
      <c r="E278" s="215"/>
      <c r="F278" s="135"/>
      <c r="G278" s="101"/>
      <c r="H278" s="100"/>
      <c r="I278" s="129"/>
      <c r="J278" s="349">
        <v>946500</v>
      </c>
      <c r="K278" s="374"/>
      <c r="L278" s="214"/>
    </row>
    <row r="279" spans="1:12" ht="12.75" customHeight="1" x14ac:dyDescent="0.2">
      <c r="A279" s="103">
        <v>61</v>
      </c>
      <c r="B279" s="324">
        <v>43305</v>
      </c>
      <c r="C279" s="148"/>
      <c r="D279" s="148" t="s">
        <v>235</v>
      </c>
      <c r="E279" s="215"/>
      <c r="F279" s="135"/>
      <c r="G279" s="101"/>
      <c r="H279" s="100"/>
      <c r="I279" s="129"/>
      <c r="J279" s="349">
        <v>1044500</v>
      </c>
      <c r="K279" s="374"/>
      <c r="L279" s="214"/>
    </row>
    <row r="280" spans="1:12" x14ac:dyDescent="0.2">
      <c r="A280" s="103">
        <v>62</v>
      </c>
      <c r="B280" s="324">
        <v>43305</v>
      </c>
      <c r="C280" s="148"/>
      <c r="D280" s="148" t="s">
        <v>160</v>
      </c>
      <c r="E280" s="215"/>
      <c r="F280" s="135"/>
      <c r="G280" s="101"/>
      <c r="H280" s="100"/>
      <c r="I280" s="129"/>
      <c r="J280" s="349">
        <v>1044500</v>
      </c>
      <c r="K280" s="374"/>
      <c r="L280" s="214"/>
    </row>
    <row r="281" spans="1:12" ht="12.75" customHeight="1" x14ac:dyDescent="0.2">
      <c r="A281" s="103">
        <v>63</v>
      </c>
      <c r="B281" s="324">
        <v>43305</v>
      </c>
      <c r="C281" s="148"/>
      <c r="D281" s="148" t="s">
        <v>187</v>
      </c>
      <c r="E281" s="215"/>
      <c r="F281" s="135"/>
      <c r="G281" s="101"/>
      <c r="H281" s="100"/>
      <c r="I281" s="129"/>
      <c r="J281" s="313">
        <v>742500</v>
      </c>
      <c r="K281" s="374"/>
      <c r="L281" s="111"/>
    </row>
    <row r="282" spans="1:12" ht="12.75" customHeight="1" x14ac:dyDescent="0.2">
      <c r="B282" s="324" t="s">
        <v>131</v>
      </c>
      <c r="C282" s="148"/>
      <c r="D282" s="148" t="s">
        <v>252</v>
      </c>
      <c r="E282" s="215"/>
      <c r="F282" s="135"/>
      <c r="G282" s="101"/>
      <c r="H282" s="100"/>
      <c r="I282" s="129"/>
      <c r="J282" s="351">
        <v>160837</v>
      </c>
      <c r="K282" s="374"/>
      <c r="L282" s="111"/>
    </row>
    <row r="283" spans="1:12" ht="12.75" customHeight="1" x14ac:dyDescent="0.2">
      <c r="A283" s="103">
        <v>64</v>
      </c>
      <c r="B283" s="324">
        <v>43315</v>
      </c>
      <c r="C283" s="148"/>
      <c r="D283" s="148" t="s">
        <v>158</v>
      </c>
      <c r="E283" s="215"/>
      <c r="F283" s="135"/>
      <c r="G283" s="101"/>
      <c r="H283" s="100"/>
      <c r="I283" s="129"/>
      <c r="J283" s="349">
        <v>636000</v>
      </c>
      <c r="K283" s="374"/>
      <c r="L283" s="214"/>
    </row>
    <row r="284" spans="1:12" ht="12.75" customHeight="1" x14ac:dyDescent="0.2">
      <c r="A284" s="103">
        <v>65</v>
      </c>
      <c r="B284" s="324">
        <v>43315</v>
      </c>
      <c r="C284" s="148"/>
      <c r="D284" s="148" t="s">
        <v>187</v>
      </c>
      <c r="E284" s="215"/>
      <c r="F284" s="135"/>
      <c r="G284" s="101"/>
      <c r="H284" s="100"/>
      <c r="I284" s="129"/>
      <c r="J284" s="349">
        <v>275000</v>
      </c>
      <c r="K284" s="374"/>
      <c r="L284" s="214"/>
    </row>
    <row r="285" spans="1:12" ht="12.75" customHeight="1" x14ac:dyDescent="0.2">
      <c r="B285" s="324"/>
      <c r="C285" s="148"/>
      <c r="D285" s="103" t="s">
        <v>238</v>
      </c>
      <c r="F285" s="135"/>
      <c r="G285" s="101"/>
      <c r="H285" s="100"/>
      <c r="J285" s="313">
        <v>834250</v>
      </c>
      <c r="K285" s="374"/>
      <c r="L285" s="214"/>
    </row>
    <row r="286" spans="1:12" ht="12" customHeight="1" x14ac:dyDescent="0.2">
      <c r="A286" s="103">
        <v>66</v>
      </c>
      <c r="B286" s="324">
        <v>43318</v>
      </c>
      <c r="C286" s="148"/>
      <c r="D286" s="148" t="s">
        <v>158</v>
      </c>
      <c r="E286" s="215"/>
      <c r="F286" s="135"/>
      <c r="G286" s="101"/>
      <c r="H286" s="100"/>
      <c r="I286" s="129"/>
      <c r="J286" s="349">
        <v>2862000</v>
      </c>
      <c r="K286" s="374"/>
      <c r="L286" s="214"/>
    </row>
    <row r="287" spans="1:12" ht="12.75" customHeight="1" x14ac:dyDescent="0.2">
      <c r="A287" s="103">
        <v>67</v>
      </c>
      <c r="B287" s="324">
        <v>43318</v>
      </c>
      <c r="C287" s="148"/>
      <c r="D287" s="148" t="s">
        <v>187</v>
      </c>
      <c r="E287" s="215"/>
      <c r="F287" s="135"/>
      <c r="G287" s="101"/>
      <c r="H287" s="100"/>
      <c r="I287" s="129"/>
      <c r="J287" s="349">
        <v>607500</v>
      </c>
      <c r="K287" s="374"/>
      <c r="L287" s="214"/>
    </row>
    <row r="288" spans="1:12" ht="12.75" customHeight="1" x14ac:dyDescent="0.2">
      <c r="A288" s="103">
        <v>68</v>
      </c>
      <c r="B288" s="324">
        <v>42981</v>
      </c>
      <c r="C288" s="148"/>
      <c r="D288" s="103" t="s">
        <v>158</v>
      </c>
      <c r="F288" s="135"/>
      <c r="G288" s="101"/>
      <c r="H288" s="100"/>
      <c r="J288" s="313">
        <v>636000</v>
      </c>
      <c r="K288" s="374"/>
      <c r="L288" s="214"/>
    </row>
    <row r="289" spans="1:12" ht="12.75" customHeight="1" x14ac:dyDescent="0.2">
      <c r="B289" s="324">
        <v>43347</v>
      </c>
      <c r="C289" s="148"/>
      <c r="D289" s="148" t="s">
        <v>238</v>
      </c>
      <c r="E289" s="215"/>
      <c r="F289" s="135"/>
      <c r="G289" s="101"/>
      <c r="H289" s="100"/>
      <c r="I289" s="129"/>
      <c r="J289" s="349">
        <v>767470</v>
      </c>
      <c r="K289" s="374"/>
      <c r="L289" s="214"/>
    </row>
    <row r="290" spans="1:12" ht="12.75" customHeight="1" x14ac:dyDescent="0.2">
      <c r="A290" s="103">
        <v>69</v>
      </c>
      <c r="B290" s="324">
        <v>43350</v>
      </c>
      <c r="C290" s="148"/>
      <c r="D290" s="148" t="s">
        <v>198</v>
      </c>
      <c r="E290" s="215"/>
      <c r="F290" s="135"/>
      <c r="G290" s="101"/>
      <c r="H290" s="100"/>
      <c r="I290" s="129"/>
      <c r="J290" s="349">
        <v>1088000</v>
      </c>
      <c r="K290" s="374"/>
      <c r="L290" s="214"/>
    </row>
    <row r="291" spans="1:12" ht="12.75" customHeight="1" x14ac:dyDescent="0.2">
      <c r="A291" s="103">
        <v>70</v>
      </c>
      <c r="B291" s="324">
        <v>43350</v>
      </c>
      <c r="C291" s="148"/>
      <c r="D291" s="148" t="s">
        <v>235</v>
      </c>
      <c r="E291" s="215"/>
      <c r="F291" s="135"/>
      <c r="G291" s="101"/>
      <c r="H291" s="100"/>
      <c r="I291" s="129"/>
      <c r="J291" s="349">
        <v>1088000</v>
      </c>
      <c r="K291" s="374"/>
      <c r="L291" s="214"/>
    </row>
    <row r="292" spans="1:12" ht="12.75" customHeight="1" x14ac:dyDescent="0.2">
      <c r="A292" s="103">
        <v>71</v>
      </c>
      <c r="B292" s="324">
        <v>43353</v>
      </c>
      <c r="C292" s="148"/>
      <c r="D292" s="148" t="s">
        <v>158</v>
      </c>
      <c r="E292" s="215"/>
      <c r="F292" s="135"/>
      <c r="G292" s="101"/>
      <c r="H292" s="100"/>
      <c r="I292" s="129"/>
      <c r="J292" s="349">
        <v>3180000</v>
      </c>
      <c r="K292" s="374"/>
      <c r="L292" s="214"/>
    </row>
    <row r="293" spans="1:12" x14ac:dyDescent="0.2">
      <c r="A293" s="103">
        <v>72</v>
      </c>
      <c r="B293" s="324">
        <v>43353</v>
      </c>
      <c r="C293" s="148"/>
      <c r="D293" s="148" t="s">
        <v>160</v>
      </c>
      <c r="E293" s="215"/>
      <c r="F293" s="135"/>
      <c r="G293" s="101"/>
      <c r="H293" s="100"/>
      <c r="I293" s="129"/>
      <c r="J293" s="349">
        <v>1431500</v>
      </c>
      <c r="K293" s="374"/>
      <c r="L293" s="214"/>
    </row>
    <row r="294" spans="1:12" ht="12.75" customHeight="1" x14ac:dyDescent="0.2">
      <c r="A294" s="103">
        <v>73</v>
      </c>
      <c r="B294" s="324">
        <v>43353</v>
      </c>
      <c r="C294" s="148"/>
      <c r="D294" s="148" t="s">
        <v>196</v>
      </c>
      <c r="E294" s="215"/>
      <c r="F294" s="135"/>
      <c r="G294" s="101"/>
      <c r="H294" s="100"/>
      <c r="I294" s="129"/>
      <c r="J294" s="349">
        <v>985500</v>
      </c>
      <c r="K294" s="374"/>
      <c r="L294" s="214"/>
    </row>
    <row r="295" spans="1:12" ht="12.75" customHeight="1" x14ac:dyDescent="0.2">
      <c r="A295" s="103">
        <v>74</v>
      </c>
      <c r="B295" s="324">
        <v>43353</v>
      </c>
      <c r="C295" s="148"/>
      <c r="D295" s="148" t="s">
        <v>197</v>
      </c>
      <c r="E295" s="215"/>
      <c r="F295" s="135"/>
      <c r="G295" s="101"/>
      <c r="H295" s="100"/>
      <c r="I295" s="129"/>
      <c r="J295" s="349">
        <v>855000</v>
      </c>
      <c r="K295" s="374"/>
      <c r="L295" s="214"/>
    </row>
    <row r="296" spans="1:12" ht="12.75" customHeight="1" x14ac:dyDescent="0.2">
      <c r="A296" s="103">
        <v>75</v>
      </c>
      <c r="B296" s="324">
        <v>43353</v>
      </c>
      <c r="C296" s="148"/>
      <c r="D296" s="148" t="s">
        <v>187</v>
      </c>
      <c r="E296" s="215"/>
      <c r="F296" s="135"/>
      <c r="G296" s="101"/>
      <c r="H296" s="100"/>
      <c r="I296" s="129"/>
      <c r="J296" s="349">
        <v>607500</v>
      </c>
      <c r="K296" s="374"/>
      <c r="L296" s="214"/>
    </row>
    <row r="297" spans="1:12" ht="12.75" customHeight="1" x14ac:dyDescent="0.2">
      <c r="A297" s="103">
        <v>76</v>
      </c>
      <c r="B297" s="324">
        <v>43360</v>
      </c>
      <c r="C297" s="148"/>
      <c r="D297" s="148" t="s">
        <v>198</v>
      </c>
      <c r="E297" s="215"/>
      <c r="F297" s="135"/>
      <c r="G297" s="101"/>
      <c r="H297" s="100"/>
      <c r="I297" s="129"/>
      <c r="J297" s="349">
        <v>964500</v>
      </c>
      <c r="K297" s="374"/>
      <c r="L297" s="214"/>
    </row>
    <row r="298" spans="1:12" ht="12.75" customHeight="1" x14ac:dyDescent="0.2">
      <c r="A298" s="103">
        <v>77</v>
      </c>
      <c r="B298" s="324">
        <v>43360</v>
      </c>
      <c r="C298" s="148"/>
      <c r="D298" s="148" t="s">
        <v>235</v>
      </c>
      <c r="E298" s="215"/>
      <c r="F298" s="135"/>
      <c r="G298" s="101"/>
      <c r="H298" s="100"/>
      <c r="I298" s="129"/>
      <c r="J298" s="349">
        <v>964500</v>
      </c>
      <c r="K298" s="374"/>
      <c r="L298" s="214"/>
    </row>
    <row r="299" spans="1:12" ht="12.75" customHeight="1" x14ac:dyDescent="0.2">
      <c r="B299" s="347">
        <v>43361</v>
      </c>
      <c r="C299" s="348"/>
      <c r="D299" s="348" t="s">
        <v>266</v>
      </c>
      <c r="E299" s="215"/>
      <c r="F299" s="135"/>
      <c r="G299" s="273">
        <v>15000000</v>
      </c>
      <c r="H299" s="100"/>
      <c r="I299" s="129"/>
      <c r="J299" s="349"/>
      <c r="K299" s="374"/>
      <c r="L299" s="214"/>
    </row>
    <row r="300" spans="1:12" ht="12.75" customHeight="1" x14ac:dyDescent="0.2">
      <c r="A300" s="103">
        <v>78</v>
      </c>
      <c r="B300" s="324">
        <v>43361</v>
      </c>
      <c r="C300" s="148"/>
      <c r="D300" s="148" t="s">
        <v>158</v>
      </c>
      <c r="E300" s="215"/>
      <c r="F300" s="135"/>
      <c r="G300" s="101"/>
      <c r="H300" s="100"/>
      <c r="I300" s="129"/>
      <c r="J300" s="349">
        <v>2682000</v>
      </c>
      <c r="K300" s="374"/>
      <c r="L300" s="214"/>
    </row>
    <row r="301" spans="1:12" x14ac:dyDescent="0.2">
      <c r="A301" s="103">
        <v>79</v>
      </c>
      <c r="B301" s="324">
        <v>43361</v>
      </c>
      <c r="C301" s="148"/>
      <c r="D301" s="148" t="s">
        <v>160</v>
      </c>
      <c r="E301" s="215"/>
      <c r="F301" s="135"/>
      <c r="G301" s="101"/>
      <c r="H301" s="100"/>
      <c r="I301" s="129"/>
      <c r="J301" s="349">
        <v>1251500</v>
      </c>
      <c r="K301" s="374"/>
      <c r="L301" s="214"/>
    </row>
    <row r="302" spans="1:12" ht="12.75" customHeight="1" x14ac:dyDescent="0.2">
      <c r="A302" s="103">
        <v>80</v>
      </c>
      <c r="B302" s="324">
        <v>43361</v>
      </c>
      <c r="C302" s="148"/>
      <c r="D302" s="148" t="s">
        <v>198</v>
      </c>
      <c r="E302" s="215"/>
      <c r="F302" s="135"/>
      <c r="G302" s="101"/>
      <c r="H302" s="100"/>
      <c r="I302" s="129"/>
      <c r="J302" s="111">
        <v>494000</v>
      </c>
      <c r="K302" s="374"/>
      <c r="L302" s="214"/>
    </row>
    <row r="303" spans="1:12" ht="12.75" customHeight="1" x14ac:dyDescent="0.2">
      <c r="A303" s="103">
        <v>81</v>
      </c>
      <c r="B303" s="324">
        <v>43374</v>
      </c>
      <c r="C303" s="148"/>
      <c r="D303" s="148" t="s">
        <v>158</v>
      </c>
      <c r="E303" s="215"/>
      <c r="F303" s="135"/>
      <c r="G303" s="101"/>
      <c r="H303" s="100"/>
      <c r="I303" s="129"/>
      <c r="J303" s="111">
        <v>1590000</v>
      </c>
      <c r="K303" s="374"/>
      <c r="L303" s="214"/>
    </row>
    <row r="304" spans="1:12" ht="12.75" customHeight="1" x14ac:dyDescent="0.2">
      <c r="A304" s="103">
        <v>82</v>
      </c>
      <c r="B304" s="324">
        <v>43374</v>
      </c>
      <c r="C304" s="148"/>
      <c r="D304" s="148" t="s">
        <v>187</v>
      </c>
      <c r="E304" s="215"/>
      <c r="F304" s="135"/>
      <c r="G304" s="101"/>
      <c r="H304" s="100"/>
      <c r="I304" s="129"/>
      <c r="J304" s="111">
        <v>617500</v>
      </c>
      <c r="K304" s="374"/>
      <c r="L304" s="214"/>
    </row>
    <row r="305" spans="1:12" ht="12.75" customHeight="1" x14ac:dyDescent="0.2">
      <c r="A305" s="103">
        <v>83</v>
      </c>
      <c r="B305" s="324">
        <v>43378</v>
      </c>
      <c r="C305" s="148"/>
      <c r="D305" s="148" t="s">
        <v>196</v>
      </c>
      <c r="E305" s="215"/>
      <c r="F305" s="135"/>
      <c r="G305" s="101"/>
      <c r="H305" s="100"/>
      <c r="I305" s="129"/>
      <c r="J305" s="111">
        <v>1992500</v>
      </c>
      <c r="K305" s="374"/>
      <c r="L305" s="111"/>
    </row>
    <row r="306" spans="1:12" ht="12.75" customHeight="1" x14ac:dyDescent="0.2">
      <c r="A306" s="103">
        <v>54</v>
      </c>
      <c r="B306" s="324">
        <v>43378</v>
      </c>
      <c r="C306" s="148"/>
      <c r="D306" s="148" t="s">
        <v>195</v>
      </c>
      <c r="E306" s="215"/>
      <c r="F306" s="135"/>
      <c r="G306" s="101"/>
      <c r="H306" s="100"/>
      <c r="I306" s="129"/>
      <c r="J306" s="111">
        <v>1992500</v>
      </c>
      <c r="K306" s="374"/>
      <c r="L306" s="214"/>
    </row>
    <row r="307" spans="1:12" ht="12.75" customHeight="1" x14ac:dyDescent="0.2">
      <c r="A307" s="103">
        <v>85</v>
      </c>
      <c r="B307" s="324">
        <v>43378</v>
      </c>
      <c r="C307" s="148"/>
      <c r="D307" s="148" t="s">
        <v>197</v>
      </c>
      <c r="E307" s="215"/>
      <c r="F307" s="135"/>
      <c r="G307" s="101"/>
      <c r="H307" s="100"/>
      <c r="I307" s="129"/>
      <c r="J307" s="111">
        <v>1775000</v>
      </c>
      <c r="K307" s="374"/>
      <c r="L307" s="214"/>
    </row>
    <row r="308" spans="1:12" ht="12.75" customHeight="1" x14ac:dyDescent="0.2">
      <c r="A308" s="103">
        <v>86</v>
      </c>
      <c r="B308" s="324">
        <v>43378</v>
      </c>
      <c r="C308" s="148"/>
      <c r="D308" s="148" t="s">
        <v>198</v>
      </c>
      <c r="E308" s="215"/>
      <c r="F308" s="135"/>
      <c r="G308" s="101"/>
      <c r="H308" s="100"/>
      <c r="I308" s="129"/>
      <c r="J308" s="111">
        <v>2202500</v>
      </c>
      <c r="K308" s="374"/>
      <c r="L308" s="214"/>
    </row>
    <row r="309" spans="1:12" ht="12.75" customHeight="1" x14ac:dyDescent="0.2">
      <c r="A309" s="103">
        <v>87</v>
      </c>
      <c r="B309" s="324">
        <v>43381</v>
      </c>
      <c r="C309" s="148"/>
      <c r="D309" s="148" t="s">
        <v>158</v>
      </c>
      <c r="E309" s="215"/>
      <c r="F309" s="135"/>
      <c r="G309" s="101"/>
      <c r="H309" s="100"/>
      <c r="I309" s="129"/>
      <c r="J309" s="111">
        <v>954000</v>
      </c>
      <c r="K309" s="374"/>
      <c r="L309" s="214"/>
    </row>
    <row r="310" spans="1:12" ht="12.75" customHeight="1" x14ac:dyDescent="0.2">
      <c r="A310" s="103">
        <v>88</v>
      </c>
      <c r="B310" s="324">
        <v>43381</v>
      </c>
      <c r="C310" s="148"/>
      <c r="D310" s="148" t="s">
        <v>187</v>
      </c>
      <c r="E310" s="215"/>
      <c r="F310" s="135"/>
      <c r="G310" s="101"/>
      <c r="H310" s="100"/>
      <c r="I310" s="129"/>
      <c r="J310" s="111">
        <v>362000</v>
      </c>
      <c r="K310" s="374"/>
      <c r="L310" s="214"/>
    </row>
    <row r="311" spans="1:12" ht="12.75" customHeight="1" x14ac:dyDescent="0.2">
      <c r="B311" s="347">
        <v>43381</v>
      </c>
      <c r="C311" s="348"/>
      <c r="D311" s="348" t="s">
        <v>267</v>
      </c>
      <c r="E311" s="215"/>
      <c r="F311" s="135"/>
      <c r="G311" s="273">
        <v>11000000</v>
      </c>
      <c r="H311" s="100"/>
      <c r="I311" s="129"/>
      <c r="K311" s="374"/>
      <c r="L311" s="214"/>
    </row>
    <row r="312" spans="1:12" x14ac:dyDescent="0.2">
      <c r="A312" s="103">
        <v>89</v>
      </c>
      <c r="B312" s="324">
        <v>43390</v>
      </c>
      <c r="C312" s="148"/>
      <c r="D312" s="148" t="s">
        <v>158</v>
      </c>
      <c r="E312" s="215"/>
      <c r="F312" s="135"/>
      <c r="G312" s="101"/>
      <c r="H312" s="100"/>
      <c r="I312" s="129"/>
      <c r="J312" s="111">
        <v>954000</v>
      </c>
      <c r="K312" s="374"/>
      <c r="L312" s="214"/>
    </row>
    <row r="313" spans="1:12" x14ac:dyDescent="0.2">
      <c r="A313" s="103">
        <v>90</v>
      </c>
      <c r="B313" s="324">
        <v>43390</v>
      </c>
      <c r="C313" s="148"/>
      <c r="D313" s="148" t="s">
        <v>235</v>
      </c>
      <c r="E313" s="215"/>
      <c r="F313" s="135"/>
      <c r="G313" s="101"/>
      <c r="H313" s="100"/>
      <c r="I313" s="129"/>
      <c r="J313" s="111">
        <v>370500</v>
      </c>
      <c r="K313" s="374"/>
      <c r="L313" s="214"/>
    </row>
    <row r="314" spans="1:12" x14ac:dyDescent="0.2">
      <c r="A314" s="103">
        <v>91</v>
      </c>
      <c r="B314" s="324">
        <v>43390</v>
      </c>
      <c r="C314" s="148"/>
      <c r="D314" s="148" t="s">
        <v>160</v>
      </c>
      <c r="E314" s="215"/>
      <c r="F314" s="135"/>
      <c r="G314" s="101"/>
      <c r="H314" s="100"/>
      <c r="I314" s="129"/>
      <c r="J314" s="111">
        <v>370500</v>
      </c>
      <c r="K314" s="374"/>
      <c r="L314" s="214"/>
    </row>
    <row r="315" spans="1:12" x14ac:dyDescent="0.2">
      <c r="A315" s="103">
        <v>92</v>
      </c>
      <c r="B315" s="324">
        <v>43390</v>
      </c>
      <c r="C315" s="148"/>
      <c r="D315" s="148" t="s">
        <v>269</v>
      </c>
      <c r="E315" s="215"/>
      <c r="F315" s="135"/>
      <c r="G315" s="101"/>
      <c r="H315" s="100"/>
      <c r="I315" s="129"/>
      <c r="J315" s="111">
        <v>525000</v>
      </c>
      <c r="K315" s="374"/>
      <c r="L315" s="214"/>
    </row>
    <row r="316" spans="1:12" x14ac:dyDescent="0.2">
      <c r="A316" s="103">
        <v>93</v>
      </c>
      <c r="B316" s="324">
        <v>43390</v>
      </c>
      <c r="C316" s="148"/>
      <c r="D316" s="148" t="s">
        <v>187</v>
      </c>
      <c r="E316" s="215"/>
      <c r="F316" s="135"/>
      <c r="G316" s="101"/>
      <c r="H316" s="100"/>
      <c r="I316" s="129"/>
      <c r="J316" s="111">
        <v>362500</v>
      </c>
      <c r="K316" s="374"/>
      <c r="L316" s="214"/>
    </row>
    <row r="317" spans="1:12" x14ac:dyDescent="0.2">
      <c r="B317" s="324">
        <v>43392</v>
      </c>
      <c r="C317" s="148"/>
      <c r="D317" s="148" t="s">
        <v>270</v>
      </c>
      <c r="E317" s="215"/>
      <c r="F317" s="135"/>
      <c r="G317" s="101"/>
      <c r="H317" s="100"/>
      <c r="I317" s="129"/>
      <c r="J317" s="111">
        <v>1179120</v>
      </c>
      <c r="K317" s="374"/>
      <c r="L317" s="214"/>
    </row>
    <row r="318" spans="1:12" x14ac:dyDescent="0.2">
      <c r="A318" s="103">
        <v>94</v>
      </c>
      <c r="B318" s="324">
        <v>43402</v>
      </c>
      <c r="C318" s="148"/>
      <c r="D318" s="148" t="s">
        <v>158</v>
      </c>
      <c r="E318" s="215"/>
      <c r="F318" s="135"/>
      <c r="G318" s="101"/>
      <c r="H318" s="100"/>
      <c r="I318" s="129"/>
      <c r="J318" s="111">
        <v>636000</v>
      </c>
      <c r="K318" s="374"/>
      <c r="L318" s="214"/>
    </row>
    <row r="319" spans="1:12" x14ac:dyDescent="0.2">
      <c r="A319" s="103">
        <v>95</v>
      </c>
      <c r="B319" s="324">
        <v>43402</v>
      </c>
      <c r="C319" s="148"/>
      <c r="D319" s="148" t="s">
        <v>187</v>
      </c>
      <c r="E319" s="215"/>
      <c r="F319" s="135"/>
      <c r="G319" s="101"/>
      <c r="H319" s="100"/>
      <c r="I319" s="129"/>
      <c r="J319" s="111">
        <v>295000</v>
      </c>
      <c r="K319" s="374"/>
      <c r="L319" s="214"/>
    </row>
    <row r="320" spans="1:12" x14ac:dyDescent="0.2">
      <c r="A320" s="103">
        <v>96</v>
      </c>
      <c r="B320" s="324">
        <v>43403</v>
      </c>
      <c r="C320" s="148"/>
      <c r="D320" s="148" t="s">
        <v>158</v>
      </c>
      <c r="E320" s="215"/>
      <c r="F320" s="135"/>
      <c r="G320" s="101"/>
      <c r="H320" s="100"/>
      <c r="I320" s="129"/>
      <c r="J320" s="111">
        <v>2544000</v>
      </c>
      <c r="K320" s="374"/>
      <c r="L320" s="214"/>
    </row>
    <row r="321" spans="1:12" x14ac:dyDescent="0.2">
      <c r="A321" s="103">
        <v>97</v>
      </c>
      <c r="B321" s="324">
        <v>43403</v>
      </c>
      <c r="C321" s="148"/>
      <c r="D321" s="148" t="s">
        <v>235</v>
      </c>
      <c r="E321" s="215"/>
      <c r="F321" s="135"/>
      <c r="G321" s="101"/>
      <c r="H321" s="100"/>
      <c r="I321" s="129"/>
      <c r="J321" s="111">
        <v>988000</v>
      </c>
      <c r="K321" s="374"/>
      <c r="L321" s="214"/>
    </row>
    <row r="322" spans="1:12" x14ac:dyDescent="0.2">
      <c r="A322" s="103">
        <v>98</v>
      </c>
      <c r="B322" s="324">
        <v>43403</v>
      </c>
      <c r="C322" s="148"/>
      <c r="D322" s="148" t="s">
        <v>160</v>
      </c>
      <c r="E322" s="215"/>
      <c r="F322" s="135"/>
      <c r="G322" s="101"/>
      <c r="H322" s="100"/>
      <c r="I322" s="129"/>
      <c r="J322" s="111">
        <v>1258000</v>
      </c>
      <c r="K322" s="374"/>
      <c r="L322" s="214"/>
    </row>
    <row r="323" spans="1:12" x14ac:dyDescent="0.2">
      <c r="A323" s="103">
        <v>99</v>
      </c>
      <c r="B323" s="324">
        <v>43403</v>
      </c>
      <c r="C323" s="148"/>
      <c r="D323" s="148" t="s">
        <v>187</v>
      </c>
      <c r="E323" s="215"/>
      <c r="F323" s="135"/>
      <c r="G323" s="101"/>
      <c r="H323" s="100"/>
      <c r="I323" s="129"/>
      <c r="J323" s="111">
        <v>540000</v>
      </c>
      <c r="K323" s="374"/>
      <c r="L323" s="214"/>
    </row>
    <row r="324" spans="1:12" x14ac:dyDescent="0.2">
      <c r="B324" s="324" t="s">
        <v>276</v>
      </c>
      <c r="C324" s="148"/>
      <c r="D324" s="148" t="s">
        <v>256</v>
      </c>
      <c r="E324" s="215"/>
      <c r="F324" s="135"/>
      <c r="G324" s="101"/>
      <c r="H324" s="100"/>
      <c r="I324" s="129"/>
      <c r="J324" s="111">
        <v>-38000</v>
      </c>
      <c r="K324" s="374"/>
      <c r="L324" s="214"/>
    </row>
    <row r="325" spans="1:12" x14ac:dyDescent="0.2">
      <c r="A325" s="103">
        <v>100</v>
      </c>
      <c r="B325" s="324">
        <v>43411</v>
      </c>
      <c r="C325" s="148"/>
      <c r="D325" s="148" t="s">
        <v>158</v>
      </c>
      <c r="E325" s="215"/>
      <c r="F325" s="135"/>
      <c r="G325" s="101"/>
      <c r="H325" s="100"/>
      <c r="I325" s="129"/>
      <c r="J325" s="111">
        <v>636000</v>
      </c>
      <c r="K325" s="374"/>
      <c r="L325" s="214"/>
    </row>
    <row r="326" spans="1:12" x14ac:dyDescent="0.2">
      <c r="A326" s="103">
        <v>101</v>
      </c>
      <c r="B326" s="324">
        <v>43411</v>
      </c>
      <c r="C326" s="148"/>
      <c r="D326" s="148" t="s">
        <v>187</v>
      </c>
      <c r="E326" s="215"/>
      <c r="F326" s="135"/>
      <c r="G326" s="101"/>
      <c r="H326" s="100"/>
      <c r="I326" s="129"/>
      <c r="J326" s="111">
        <v>275000</v>
      </c>
      <c r="K326" s="374"/>
      <c r="L326" s="214"/>
    </row>
    <row r="327" spans="1:12" x14ac:dyDescent="0.2">
      <c r="B327" s="324">
        <v>43417</v>
      </c>
      <c r="C327" s="148"/>
      <c r="D327" s="148" t="s">
        <v>282</v>
      </c>
      <c r="E327" s="215"/>
      <c r="F327" s="135"/>
      <c r="G327" s="101">
        <v>3500000</v>
      </c>
      <c r="H327" s="100"/>
      <c r="I327" s="129"/>
      <c r="J327" s="111"/>
      <c r="K327" s="374"/>
      <c r="L327" s="214"/>
    </row>
    <row r="328" spans="1:12" x14ac:dyDescent="0.2">
      <c r="A328" s="103">
        <v>102</v>
      </c>
      <c r="B328" s="324">
        <v>43425</v>
      </c>
      <c r="C328" s="148"/>
      <c r="D328" s="148" t="s">
        <v>187</v>
      </c>
      <c r="E328" s="215"/>
      <c r="F328" s="135"/>
      <c r="G328" s="101"/>
      <c r="H328" s="100"/>
      <c r="I328" s="129"/>
      <c r="J328" s="111">
        <v>472500</v>
      </c>
      <c r="K328" s="374"/>
      <c r="L328" s="214"/>
    </row>
    <row r="329" spans="1:12" x14ac:dyDescent="0.2">
      <c r="A329" s="103">
        <v>103</v>
      </c>
      <c r="B329" s="324">
        <v>43431</v>
      </c>
      <c r="C329" s="148"/>
      <c r="D329" s="148" t="s">
        <v>222</v>
      </c>
      <c r="E329" s="215"/>
      <c r="F329" s="135"/>
      <c r="G329" s="101"/>
      <c r="H329" s="100"/>
      <c r="I329" s="129"/>
      <c r="J329" s="111">
        <v>976000</v>
      </c>
      <c r="K329" s="374"/>
      <c r="L329" s="111">
        <f>K212</f>
        <v>0</v>
      </c>
    </row>
    <row r="330" spans="1:12" x14ac:dyDescent="0.2">
      <c r="B330" s="406">
        <v>43257</v>
      </c>
      <c r="C330" s="407"/>
      <c r="D330" s="407" t="s">
        <v>310</v>
      </c>
      <c r="E330" s="215"/>
      <c r="F330" s="135"/>
      <c r="G330" s="101">
        <f>2605080+1908000</f>
        <v>4513080</v>
      </c>
      <c r="H330" s="100"/>
      <c r="I330" s="129"/>
      <c r="J330" s="111"/>
      <c r="K330" s="374"/>
      <c r="L330" s="214"/>
    </row>
    <row r="331" spans="1:12" x14ac:dyDescent="0.2">
      <c r="A331" s="103">
        <v>104</v>
      </c>
      <c r="B331" s="324">
        <v>43452</v>
      </c>
      <c r="C331" s="148"/>
      <c r="D331" s="148" t="s">
        <v>309</v>
      </c>
      <c r="E331" s="215"/>
      <c r="F331" s="135"/>
      <c r="G331" s="101"/>
      <c r="H331" s="100"/>
      <c r="I331" s="129"/>
      <c r="J331" s="111">
        <v>410000</v>
      </c>
      <c r="K331" s="374"/>
      <c r="L331" s="214"/>
    </row>
    <row r="332" spans="1:12" x14ac:dyDescent="0.2">
      <c r="A332" s="103">
        <v>105</v>
      </c>
      <c r="B332" s="324">
        <v>43452</v>
      </c>
      <c r="C332" s="148"/>
      <c r="D332" s="148" t="s">
        <v>158</v>
      </c>
      <c r="E332" s="215"/>
      <c r="F332" s="135"/>
      <c r="G332" s="101"/>
      <c r="H332" s="100"/>
      <c r="I332" s="129"/>
      <c r="J332" s="111">
        <v>2008000</v>
      </c>
      <c r="K332" s="374"/>
      <c r="L332" s="214"/>
    </row>
    <row r="333" spans="1:12" x14ac:dyDescent="0.2">
      <c r="A333" s="103">
        <v>106</v>
      </c>
      <c r="B333" s="324">
        <v>43452</v>
      </c>
      <c r="C333" s="148"/>
      <c r="D333" s="148" t="s">
        <v>235</v>
      </c>
      <c r="E333" s="215"/>
      <c r="F333" s="135"/>
      <c r="G333" s="101"/>
      <c r="H333" s="100"/>
      <c r="I333" s="129"/>
      <c r="J333" s="111">
        <v>841000</v>
      </c>
      <c r="K333" s="374"/>
      <c r="L333" s="214"/>
    </row>
    <row r="334" spans="1:12" x14ac:dyDescent="0.2">
      <c r="A334" s="103">
        <v>107</v>
      </c>
      <c r="B334" s="324">
        <v>43452</v>
      </c>
      <c r="C334" s="148"/>
      <c r="D334" s="148" t="s">
        <v>160</v>
      </c>
      <c r="E334" s="215"/>
      <c r="F334" s="135"/>
      <c r="G334" s="101"/>
      <c r="H334" s="100"/>
      <c r="I334" s="129"/>
      <c r="J334" s="111">
        <v>841000</v>
      </c>
      <c r="K334" s="374"/>
      <c r="L334" s="214"/>
    </row>
    <row r="335" spans="1:12" x14ac:dyDescent="0.2">
      <c r="A335" s="103">
        <v>108</v>
      </c>
      <c r="B335" s="324">
        <v>43452</v>
      </c>
      <c r="C335" s="148"/>
      <c r="D335" s="148" t="s">
        <v>197</v>
      </c>
      <c r="E335" s="215"/>
      <c r="F335" s="135"/>
      <c r="G335" s="101"/>
      <c r="H335" s="100"/>
      <c r="I335" s="129"/>
      <c r="J335" s="111">
        <v>670000</v>
      </c>
      <c r="K335" s="374"/>
      <c r="L335" s="214"/>
    </row>
    <row r="336" spans="1:12" x14ac:dyDescent="0.2">
      <c r="B336" s="324">
        <v>43455</v>
      </c>
      <c r="C336" s="148"/>
      <c r="D336" s="148" t="s">
        <v>187</v>
      </c>
      <c r="E336" s="215"/>
      <c r="F336" s="135"/>
      <c r="G336" s="101"/>
      <c r="H336" s="100"/>
      <c r="I336" s="129"/>
      <c r="J336" s="111">
        <v>337500</v>
      </c>
      <c r="K336" s="374"/>
      <c r="L336" s="214"/>
    </row>
    <row r="337" spans="1:12" x14ac:dyDescent="0.2">
      <c r="A337" s="103">
        <v>109</v>
      </c>
      <c r="B337" s="324">
        <v>43460</v>
      </c>
      <c r="C337" s="148"/>
      <c r="D337" s="148" t="s">
        <v>158</v>
      </c>
      <c r="E337" s="215"/>
      <c r="F337" s="135"/>
      <c r="G337" s="101"/>
      <c r="H337" s="100"/>
      <c r="I337" s="129"/>
      <c r="J337" s="111">
        <v>1908000</v>
      </c>
      <c r="K337" s="374"/>
      <c r="L337" s="214"/>
    </row>
    <row r="338" spans="1:12" x14ac:dyDescent="0.2">
      <c r="B338" s="324"/>
      <c r="C338" s="148"/>
      <c r="D338" s="148"/>
      <c r="E338" s="215"/>
      <c r="F338" s="135"/>
      <c r="G338" s="101"/>
      <c r="H338" s="100"/>
      <c r="I338" s="129"/>
      <c r="J338" s="111"/>
      <c r="K338" s="374"/>
      <c r="L338" s="214"/>
    </row>
    <row r="339" spans="1:12" x14ac:dyDescent="0.2">
      <c r="B339" s="324"/>
      <c r="C339" s="148"/>
      <c r="D339" s="148"/>
      <c r="E339" s="215"/>
      <c r="F339" s="135"/>
      <c r="G339" s="101"/>
      <c r="H339" s="100"/>
      <c r="I339" s="129"/>
      <c r="J339" s="111"/>
      <c r="K339" s="374"/>
      <c r="L339" s="214"/>
    </row>
    <row r="340" spans="1:12" x14ac:dyDescent="0.2">
      <c r="B340" s="324"/>
      <c r="C340" s="148"/>
      <c r="D340" s="148"/>
      <c r="E340" s="215"/>
      <c r="F340" s="135"/>
      <c r="G340" s="101"/>
      <c r="H340" s="100"/>
      <c r="I340" s="129"/>
      <c r="J340" s="111"/>
      <c r="K340" s="374"/>
      <c r="L340" s="214"/>
    </row>
    <row r="341" spans="1:12" ht="15.75" x14ac:dyDescent="0.25">
      <c r="B341" s="322"/>
      <c r="C341" s="232" t="s">
        <v>62</v>
      </c>
      <c r="D341" s="232" t="s">
        <v>63</v>
      </c>
      <c r="E341" s="234">
        <v>1200000</v>
      </c>
      <c r="F341" s="235">
        <f>SUM(F342:F360)</f>
        <v>0</v>
      </c>
      <c r="G341" s="235">
        <f>SUM(G342:G360)</f>
        <v>0</v>
      </c>
      <c r="H341" s="235">
        <f>SUM(H342:H360)</f>
        <v>460900</v>
      </c>
      <c r="I341" s="236">
        <f>E341+F341+G341-H341</f>
        <v>739100</v>
      </c>
      <c r="J341" s="235">
        <f>SUM(J342:J360)</f>
        <v>739100</v>
      </c>
      <c r="K341" s="373">
        <f>I341-J341</f>
        <v>0</v>
      </c>
      <c r="L341" s="394">
        <f>K341</f>
        <v>0</v>
      </c>
    </row>
    <row r="342" spans="1:12" x14ac:dyDescent="0.2">
      <c r="B342" s="324">
        <v>43131</v>
      </c>
      <c r="C342" s="148"/>
      <c r="D342" s="148" t="s">
        <v>186</v>
      </c>
      <c r="E342" s="215"/>
      <c r="F342" s="216"/>
      <c r="G342" s="99"/>
      <c r="H342" s="100"/>
      <c r="I342" s="129"/>
      <c r="J342" s="111">
        <v>200000</v>
      </c>
      <c r="K342" s="374"/>
      <c r="L342" s="214"/>
    </row>
    <row r="343" spans="1:12" x14ac:dyDescent="0.2">
      <c r="B343" s="324">
        <v>43194</v>
      </c>
      <c r="C343" s="148"/>
      <c r="D343" s="148" t="s">
        <v>213</v>
      </c>
      <c r="E343" s="215"/>
      <c r="F343" s="216"/>
      <c r="G343" s="99"/>
      <c r="H343" s="100"/>
      <c r="I343" s="129"/>
      <c r="J343" s="103">
        <v>167000</v>
      </c>
      <c r="K343" s="374"/>
      <c r="L343" s="214"/>
    </row>
    <row r="344" spans="1:12" x14ac:dyDescent="0.2">
      <c r="B344" s="324">
        <v>43224</v>
      </c>
      <c r="C344" s="148"/>
      <c r="D344" s="148" t="s">
        <v>213</v>
      </c>
      <c r="E344" s="215"/>
      <c r="F344" s="216"/>
      <c r="G344" s="99"/>
      <c r="H344" s="100"/>
      <c r="I344" s="129"/>
      <c r="J344" s="111">
        <v>167100</v>
      </c>
      <c r="K344" s="374"/>
      <c r="L344" s="214"/>
    </row>
    <row r="345" spans="1:12" x14ac:dyDescent="0.2">
      <c r="B345" s="324">
        <v>43327</v>
      </c>
      <c r="C345" s="148"/>
      <c r="D345" s="148" t="s">
        <v>213</v>
      </c>
      <c r="E345" s="215"/>
      <c r="F345" s="216"/>
      <c r="G345" s="99"/>
      <c r="H345" s="100"/>
      <c r="I345" s="129"/>
      <c r="J345" s="111">
        <v>40000</v>
      </c>
      <c r="K345" s="374"/>
      <c r="L345" s="214"/>
    </row>
    <row r="346" spans="1:12" x14ac:dyDescent="0.2">
      <c r="B346" s="324">
        <v>43369</v>
      </c>
      <c r="C346" s="148"/>
      <c r="D346" s="149" t="s">
        <v>213</v>
      </c>
      <c r="E346" s="215"/>
      <c r="F346" s="216"/>
      <c r="G346" s="99"/>
      <c r="H346" s="100"/>
      <c r="I346" s="129"/>
      <c r="J346" s="111">
        <v>165000</v>
      </c>
      <c r="K346" s="374"/>
      <c r="L346" s="214"/>
    </row>
    <row r="347" spans="1:12" x14ac:dyDescent="0.2">
      <c r="B347" s="406">
        <v>43440</v>
      </c>
      <c r="C347" s="407"/>
      <c r="D347" s="407" t="s">
        <v>304</v>
      </c>
      <c r="E347" s="215"/>
      <c r="F347" s="216"/>
      <c r="G347" s="99"/>
      <c r="H347" s="100">
        <v>460900</v>
      </c>
      <c r="I347" s="129"/>
      <c r="J347" s="111"/>
      <c r="K347" s="374"/>
      <c r="L347" s="214"/>
    </row>
    <row r="348" spans="1:12" x14ac:dyDescent="0.2">
      <c r="B348" s="324"/>
      <c r="C348" s="148"/>
      <c r="D348" s="148"/>
      <c r="E348" s="215"/>
      <c r="F348" s="216"/>
      <c r="G348" s="99"/>
      <c r="H348" s="100"/>
      <c r="I348" s="129"/>
      <c r="J348" s="111"/>
      <c r="K348" s="374"/>
      <c r="L348" s="214"/>
    </row>
    <row r="349" spans="1:12" x14ac:dyDescent="0.2">
      <c r="B349" s="324"/>
      <c r="C349" s="148"/>
      <c r="D349" s="148"/>
      <c r="E349" s="215"/>
      <c r="F349" s="216"/>
      <c r="G349" s="99"/>
      <c r="H349" s="100"/>
      <c r="I349" s="129"/>
      <c r="J349" s="111"/>
      <c r="K349" s="374"/>
      <c r="L349" s="214"/>
    </row>
    <row r="350" spans="1:12" x14ac:dyDescent="0.2">
      <c r="B350" s="324"/>
      <c r="C350" s="148"/>
      <c r="D350" s="148"/>
      <c r="E350" s="215"/>
      <c r="F350" s="216"/>
      <c r="G350" s="99"/>
      <c r="H350" s="100"/>
      <c r="I350" s="129"/>
      <c r="J350" s="111"/>
      <c r="K350" s="374"/>
      <c r="L350" s="214"/>
    </row>
    <row r="351" spans="1:12" x14ac:dyDescent="0.2">
      <c r="B351" s="324"/>
      <c r="C351" s="148"/>
      <c r="D351" s="148"/>
      <c r="E351" s="215"/>
      <c r="F351" s="216"/>
      <c r="G351" s="99"/>
      <c r="H351" s="100"/>
      <c r="I351" s="129"/>
      <c r="J351" s="111"/>
      <c r="K351" s="374"/>
      <c r="L351" s="214"/>
    </row>
    <row r="352" spans="1:12" x14ac:dyDescent="0.2">
      <c r="B352" s="324"/>
      <c r="C352" s="148"/>
      <c r="D352" s="148"/>
      <c r="E352" s="215"/>
      <c r="F352" s="216"/>
      <c r="G352" s="99"/>
      <c r="H352" s="100"/>
      <c r="I352" s="129"/>
      <c r="J352" s="111"/>
      <c r="K352" s="374"/>
      <c r="L352" s="214"/>
    </row>
    <row r="353" spans="2:12" x14ac:dyDescent="0.2">
      <c r="B353" s="324"/>
      <c r="C353" s="148"/>
      <c r="D353" s="148"/>
      <c r="E353" s="215"/>
      <c r="F353" s="216"/>
      <c r="G353" s="99"/>
      <c r="H353" s="100"/>
      <c r="I353" s="129"/>
      <c r="J353" s="111"/>
      <c r="K353" s="374"/>
      <c r="L353" s="214"/>
    </row>
    <row r="354" spans="2:12" x14ac:dyDescent="0.2">
      <c r="B354" s="324"/>
      <c r="C354" s="148"/>
      <c r="D354" s="148"/>
      <c r="E354" s="215"/>
      <c r="F354" s="216"/>
      <c r="G354" s="99"/>
      <c r="H354" s="100"/>
      <c r="I354" s="129"/>
      <c r="J354" s="111"/>
      <c r="K354" s="374"/>
      <c r="L354" s="214"/>
    </row>
    <row r="355" spans="2:12" x14ac:dyDescent="0.2">
      <c r="B355" s="324"/>
      <c r="C355" s="148"/>
      <c r="D355" s="148"/>
      <c r="E355" s="215"/>
      <c r="F355" s="216"/>
      <c r="G355" s="99"/>
      <c r="H355" s="100"/>
      <c r="I355" s="129"/>
      <c r="J355" s="111"/>
      <c r="K355" s="374"/>
      <c r="L355" s="214"/>
    </row>
    <row r="356" spans="2:12" x14ac:dyDescent="0.2">
      <c r="B356" s="324"/>
      <c r="C356" s="148"/>
      <c r="D356" s="148"/>
      <c r="E356" s="215"/>
      <c r="F356" s="216"/>
      <c r="G356" s="99"/>
      <c r="H356" s="100"/>
      <c r="I356" s="129"/>
      <c r="J356" s="111"/>
      <c r="K356" s="374"/>
      <c r="L356" s="214"/>
    </row>
    <row r="357" spans="2:12" x14ac:dyDescent="0.2">
      <c r="B357" s="324"/>
      <c r="C357" s="148"/>
      <c r="D357" s="148"/>
      <c r="E357" s="215"/>
      <c r="F357" s="216"/>
      <c r="G357" s="99"/>
      <c r="H357" s="100"/>
      <c r="I357" s="129"/>
      <c r="J357" s="111"/>
      <c r="K357" s="374"/>
      <c r="L357" s="214"/>
    </row>
    <row r="358" spans="2:12" x14ac:dyDescent="0.2">
      <c r="B358" s="324"/>
      <c r="C358" s="148"/>
      <c r="D358" s="148"/>
      <c r="E358" s="215"/>
      <c r="F358" s="216"/>
      <c r="G358" s="99"/>
      <c r="H358" s="100"/>
      <c r="I358" s="129"/>
      <c r="J358" s="111"/>
      <c r="K358" s="374"/>
      <c r="L358" s="214"/>
    </row>
    <row r="359" spans="2:12" x14ac:dyDescent="0.2">
      <c r="B359" s="324"/>
      <c r="C359" s="148"/>
      <c r="D359" s="148"/>
      <c r="E359" s="215"/>
      <c r="F359" s="216"/>
      <c r="G359" s="99"/>
      <c r="H359" s="100"/>
      <c r="I359" s="129"/>
      <c r="J359" s="111"/>
      <c r="K359" s="374"/>
      <c r="L359" s="214"/>
    </row>
    <row r="360" spans="2:12" x14ac:dyDescent="0.2">
      <c r="B360" s="324"/>
      <c r="C360" s="148"/>
      <c r="D360" s="148"/>
      <c r="E360" s="215"/>
      <c r="F360" s="216"/>
      <c r="G360" s="99"/>
      <c r="H360" s="100"/>
      <c r="I360" s="129"/>
      <c r="J360" s="111"/>
      <c r="K360" s="374"/>
      <c r="L360" s="214"/>
    </row>
    <row r="361" spans="2:12" ht="15.75" x14ac:dyDescent="0.25">
      <c r="B361" s="322"/>
      <c r="C361" s="232">
        <v>2020120204</v>
      </c>
      <c r="D361" s="232" t="s">
        <v>65</v>
      </c>
      <c r="E361" s="234">
        <f>900000*12</f>
        <v>10800000</v>
      </c>
      <c r="F361" s="235">
        <f>SUM(F362:F376)</f>
        <v>0</v>
      </c>
      <c r="G361" s="235">
        <f>SUM(G362:G376)</f>
        <v>0</v>
      </c>
      <c r="H361" s="235">
        <f>SUM(H362:H376)</f>
        <v>2862800</v>
      </c>
      <c r="I361" s="236">
        <f>E361+F361+G361-H361</f>
        <v>7937200</v>
      </c>
      <c r="J361" s="235">
        <f>SUM(J362:J376)</f>
        <v>7937200</v>
      </c>
      <c r="K361" s="373">
        <f>I361-J361</f>
        <v>0</v>
      </c>
      <c r="L361" s="394">
        <f>K361</f>
        <v>0</v>
      </c>
    </row>
    <row r="362" spans="2:12" x14ac:dyDescent="0.2">
      <c r="B362" s="324"/>
      <c r="C362" s="148"/>
      <c r="D362" s="148" t="s">
        <v>125</v>
      </c>
      <c r="E362" s="215"/>
      <c r="F362" s="216"/>
      <c r="G362" s="99"/>
      <c r="H362" s="100"/>
      <c r="I362" s="129"/>
      <c r="J362" s="111">
        <v>720300</v>
      </c>
      <c r="K362" s="374"/>
      <c r="L362" s="214"/>
    </row>
    <row r="363" spans="2:12" x14ac:dyDescent="0.2">
      <c r="B363" s="324">
        <v>43147</v>
      </c>
      <c r="C363" s="148"/>
      <c r="D363" s="148" t="s">
        <v>126</v>
      </c>
      <c r="E363" s="215"/>
      <c r="F363" s="216"/>
      <c r="G363" s="99"/>
      <c r="H363" s="100"/>
      <c r="I363" s="129"/>
      <c r="J363" s="111">
        <v>693300</v>
      </c>
      <c r="K363" s="374"/>
      <c r="L363" s="214"/>
    </row>
    <row r="364" spans="2:12" x14ac:dyDescent="0.2">
      <c r="B364" s="324">
        <v>43179</v>
      </c>
      <c r="C364" s="148"/>
      <c r="D364" s="148" t="s">
        <v>127</v>
      </c>
      <c r="E364" s="215"/>
      <c r="F364" s="216"/>
      <c r="G364" s="99"/>
      <c r="H364" s="100"/>
      <c r="I364" s="129"/>
      <c r="J364" s="111">
        <v>920100</v>
      </c>
      <c r="K364" s="374"/>
      <c r="L364" s="214"/>
    </row>
    <row r="365" spans="2:12" x14ac:dyDescent="0.2">
      <c r="B365" s="324">
        <v>43206</v>
      </c>
      <c r="C365" s="148"/>
      <c r="D365" s="148" t="s">
        <v>128</v>
      </c>
      <c r="E365" s="215"/>
      <c r="F365" s="216"/>
      <c r="G365" s="99"/>
      <c r="H365" s="100"/>
      <c r="I365" s="129"/>
      <c r="J365" s="111">
        <v>808700</v>
      </c>
      <c r="K365" s="374"/>
      <c r="L365" s="111"/>
    </row>
    <row r="366" spans="2:12" x14ac:dyDescent="0.2">
      <c r="B366" s="324">
        <v>43237</v>
      </c>
      <c r="C366" s="148"/>
      <c r="D366" s="148" t="s">
        <v>129</v>
      </c>
      <c r="E366" s="215"/>
      <c r="F366" s="216"/>
      <c r="G366" s="99"/>
      <c r="H366" s="100"/>
      <c r="I366" s="129"/>
      <c r="J366" s="111">
        <v>583800</v>
      </c>
      <c r="K366" s="374"/>
      <c r="L366" s="214"/>
    </row>
    <row r="367" spans="2:12" x14ac:dyDescent="0.2">
      <c r="B367" s="324" t="s">
        <v>239</v>
      </c>
      <c r="C367" s="148"/>
      <c r="D367" s="148" t="s">
        <v>130</v>
      </c>
      <c r="E367" s="215"/>
      <c r="F367" s="216"/>
      <c r="G367" s="99"/>
      <c r="H367" s="100"/>
      <c r="I367" s="129"/>
      <c r="J367" s="111">
        <v>581000</v>
      </c>
      <c r="K367" s="374"/>
      <c r="L367" s="214"/>
    </row>
    <row r="368" spans="2:12" x14ac:dyDescent="0.2">
      <c r="B368" s="324"/>
      <c r="C368" s="148"/>
      <c r="D368" s="148" t="s">
        <v>131</v>
      </c>
      <c r="E368" s="215"/>
      <c r="F368" s="216"/>
      <c r="G368" s="99"/>
      <c r="H368" s="100"/>
      <c r="I368" s="129"/>
      <c r="J368" s="111">
        <v>585000</v>
      </c>
      <c r="K368" s="374"/>
      <c r="L368" s="214"/>
    </row>
    <row r="369" spans="2:12" x14ac:dyDescent="0.2">
      <c r="B369" s="324" t="s">
        <v>131</v>
      </c>
      <c r="C369" s="148"/>
      <c r="D369" s="148" t="s">
        <v>252</v>
      </c>
      <c r="E369" s="215"/>
      <c r="F369" s="216"/>
      <c r="G369" s="99"/>
      <c r="H369" s="100"/>
      <c r="I369" s="129"/>
      <c r="J369" s="344">
        <v>9700</v>
      </c>
      <c r="K369" s="374"/>
      <c r="L369" s="214"/>
    </row>
    <row r="370" spans="2:12" x14ac:dyDescent="0.2">
      <c r="B370" s="324">
        <v>43321</v>
      </c>
      <c r="C370" s="148"/>
      <c r="D370" s="148" t="s">
        <v>132</v>
      </c>
      <c r="E370" s="215"/>
      <c r="F370" s="216"/>
      <c r="G370" s="99"/>
      <c r="H370" s="100"/>
      <c r="I370" s="129"/>
      <c r="J370" s="111">
        <v>509900</v>
      </c>
      <c r="K370" s="374"/>
      <c r="L370" s="214"/>
    </row>
    <row r="371" spans="2:12" x14ac:dyDescent="0.2">
      <c r="B371" s="324">
        <v>43361</v>
      </c>
      <c r="C371" s="148"/>
      <c r="D371" s="148" t="s">
        <v>133</v>
      </c>
      <c r="E371" s="215"/>
      <c r="F371" s="216"/>
      <c r="G371" s="99"/>
      <c r="H371" s="100"/>
      <c r="I371" s="129"/>
      <c r="J371" s="111">
        <v>497400</v>
      </c>
      <c r="K371" s="374"/>
      <c r="L371" s="214"/>
    </row>
    <row r="372" spans="2:12" x14ac:dyDescent="0.2">
      <c r="B372" s="324">
        <v>43389</v>
      </c>
      <c r="C372" s="148"/>
      <c r="D372" s="148" t="s">
        <v>134</v>
      </c>
      <c r="E372" s="215"/>
      <c r="F372" s="216"/>
      <c r="G372" s="99"/>
      <c r="H372" s="100"/>
      <c r="I372" s="129"/>
      <c r="J372" s="111">
        <v>607700</v>
      </c>
      <c r="K372" s="374"/>
      <c r="L372" s="214"/>
    </row>
    <row r="373" spans="2:12" x14ac:dyDescent="0.2">
      <c r="B373" s="324"/>
      <c r="C373" s="148"/>
      <c r="D373" s="148" t="s">
        <v>135</v>
      </c>
      <c r="E373" s="215"/>
      <c r="F373" s="216"/>
      <c r="G373" s="99"/>
      <c r="H373" s="100"/>
      <c r="I373" s="129"/>
      <c r="J373" s="111">
        <v>630500</v>
      </c>
      <c r="K373" s="374"/>
      <c r="L373" s="214"/>
    </row>
    <row r="374" spans="2:12" x14ac:dyDescent="0.2">
      <c r="B374" s="411">
        <v>43440</v>
      </c>
      <c r="C374" s="412"/>
      <c r="D374" s="413" t="s">
        <v>300</v>
      </c>
      <c r="E374" s="214"/>
      <c r="F374" s="365"/>
      <c r="G374" s="366"/>
      <c r="H374" s="414">
        <v>2862800</v>
      </c>
      <c r="I374" s="214"/>
      <c r="J374" s="214"/>
      <c r="K374" s="374"/>
      <c r="L374" s="214"/>
    </row>
    <row r="375" spans="2:12" x14ac:dyDescent="0.2">
      <c r="B375" s="324">
        <v>43444</v>
      </c>
      <c r="C375" s="148"/>
      <c r="D375" s="148" t="s">
        <v>136</v>
      </c>
      <c r="E375" s="215"/>
      <c r="F375" s="216"/>
      <c r="G375" s="99"/>
      <c r="H375" s="100"/>
      <c r="I375" s="129"/>
      <c r="J375" s="111">
        <v>789800</v>
      </c>
      <c r="K375" s="374"/>
      <c r="L375" s="214"/>
    </row>
    <row r="376" spans="2:12" x14ac:dyDescent="0.2">
      <c r="B376" s="324"/>
      <c r="C376" s="148"/>
      <c r="D376" s="148"/>
      <c r="E376" s="215"/>
      <c r="F376" s="216"/>
      <c r="G376" s="99"/>
      <c r="H376" s="100"/>
      <c r="I376" s="129"/>
      <c r="J376" s="111"/>
      <c r="K376" s="374"/>
      <c r="L376" s="214"/>
    </row>
    <row r="377" spans="2:12" ht="15" x14ac:dyDescent="0.25">
      <c r="B377" s="333"/>
      <c r="C377" s="260" t="s">
        <v>66</v>
      </c>
      <c r="D377" s="260" t="s">
        <v>67</v>
      </c>
      <c r="E377" s="261">
        <f>550000*12</f>
        <v>6600000</v>
      </c>
      <c r="F377" s="262">
        <f>SUM(F378:F413)</f>
        <v>0</v>
      </c>
      <c r="G377" s="262">
        <f>SUM(G378:G413)</f>
        <v>0</v>
      </c>
      <c r="H377" s="262">
        <f>SUM(H378:H413)</f>
        <v>1193066</v>
      </c>
      <c r="I377" s="263">
        <f>E377+F377+G377-H377</f>
        <v>5406934</v>
      </c>
      <c r="J377" s="262">
        <f>SUM(J378:J413)</f>
        <v>5406934</v>
      </c>
      <c r="K377" s="382">
        <f>I377-J377</f>
        <v>0</v>
      </c>
      <c r="L377" s="394">
        <f>K377</f>
        <v>0</v>
      </c>
    </row>
    <row r="378" spans="2:12" x14ac:dyDescent="0.2">
      <c r="B378" s="324">
        <v>43115</v>
      </c>
      <c r="C378" s="148"/>
      <c r="D378" s="148" t="s">
        <v>173</v>
      </c>
      <c r="E378" s="215"/>
      <c r="F378" s="216"/>
      <c r="G378" s="101"/>
      <c r="H378" s="100"/>
      <c r="I378" s="129"/>
      <c r="J378" s="111">
        <v>188767</v>
      </c>
      <c r="K378" s="374"/>
      <c r="L378" s="214"/>
    </row>
    <row r="379" spans="2:12" x14ac:dyDescent="0.2">
      <c r="B379" s="324">
        <v>42751</v>
      </c>
      <c r="C379" s="148"/>
      <c r="D379" s="148" t="s">
        <v>176</v>
      </c>
      <c r="E379" s="215"/>
      <c r="F379" s="216"/>
      <c r="G379" s="101"/>
      <c r="H379" s="100"/>
      <c r="I379" s="129"/>
      <c r="J379" s="111">
        <v>96900</v>
      </c>
      <c r="K379" s="374"/>
      <c r="L379" s="214"/>
    </row>
    <row r="380" spans="2:12" x14ac:dyDescent="0.2">
      <c r="B380" s="334">
        <v>43132</v>
      </c>
      <c r="C380" s="148"/>
      <c r="D380" s="148" t="s">
        <v>192</v>
      </c>
      <c r="E380" s="215"/>
      <c r="F380" s="216"/>
      <c r="G380" s="101"/>
      <c r="H380" s="100"/>
      <c r="I380" s="129"/>
      <c r="J380" s="111">
        <v>250000</v>
      </c>
      <c r="K380" s="374"/>
      <c r="L380" s="214"/>
    </row>
    <row r="381" spans="2:12" x14ac:dyDescent="0.2">
      <c r="B381" s="324">
        <v>43146</v>
      </c>
      <c r="C381" s="148"/>
      <c r="D381" s="148" t="s">
        <v>173</v>
      </c>
      <c r="E381" s="215"/>
      <c r="F381" s="216"/>
      <c r="G381" s="101"/>
      <c r="H381" s="100"/>
      <c r="I381" s="129"/>
      <c r="J381" s="111">
        <v>182983</v>
      </c>
      <c r="K381" s="374"/>
      <c r="L381" s="214"/>
    </row>
    <row r="382" spans="2:12" x14ac:dyDescent="0.2">
      <c r="B382" s="324">
        <v>43147</v>
      </c>
      <c r="C382" s="148"/>
      <c r="D382" s="148" t="s">
        <v>176</v>
      </c>
      <c r="E382" s="215"/>
      <c r="F382" s="216"/>
      <c r="G382" s="101"/>
      <c r="H382" s="100"/>
      <c r="I382" s="129"/>
      <c r="J382" s="111">
        <v>96900</v>
      </c>
      <c r="K382" s="374"/>
      <c r="L382" s="214"/>
    </row>
    <row r="383" spans="2:12" x14ac:dyDescent="0.2">
      <c r="B383" s="324">
        <v>43150</v>
      </c>
      <c r="C383" s="148"/>
      <c r="D383" s="148" t="s">
        <v>192</v>
      </c>
      <c r="E383" s="215"/>
      <c r="F383" s="216"/>
      <c r="G383" s="101"/>
      <c r="H383" s="100"/>
      <c r="I383" s="129"/>
      <c r="J383" s="111">
        <v>250000</v>
      </c>
      <c r="K383" s="374"/>
      <c r="L383" s="214"/>
    </row>
    <row r="384" spans="2:12" x14ac:dyDescent="0.2">
      <c r="B384" s="324">
        <v>43166</v>
      </c>
      <c r="C384" s="148"/>
      <c r="D384" s="148" t="s">
        <v>176</v>
      </c>
      <c r="E384" s="215"/>
      <c r="F384" s="216"/>
      <c r="G384" s="101"/>
      <c r="H384" s="100"/>
      <c r="I384" s="129"/>
      <c r="J384" s="111">
        <v>96900</v>
      </c>
      <c r="K384" s="374"/>
      <c r="L384" s="214"/>
    </row>
    <row r="385" spans="2:12" x14ac:dyDescent="0.2">
      <c r="B385" s="324">
        <v>43175</v>
      </c>
      <c r="C385" s="148"/>
      <c r="D385" s="148" t="s">
        <v>192</v>
      </c>
      <c r="E385" s="215"/>
      <c r="F385" s="216"/>
      <c r="G385" s="101"/>
      <c r="H385" s="100"/>
      <c r="I385" s="129"/>
      <c r="J385" s="111">
        <v>250000</v>
      </c>
      <c r="K385" s="374"/>
      <c r="L385" s="214"/>
    </row>
    <row r="386" spans="2:12" x14ac:dyDescent="0.2">
      <c r="B386" s="324">
        <v>43193</v>
      </c>
      <c r="C386" s="148"/>
      <c r="D386" s="148" t="s">
        <v>176</v>
      </c>
      <c r="E386" s="215"/>
      <c r="F386" s="216"/>
      <c r="G386" s="101"/>
      <c r="H386" s="100"/>
      <c r="I386" s="129"/>
      <c r="J386" s="111">
        <v>96900</v>
      </c>
      <c r="K386" s="374"/>
      <c r="L386" s="111"/>
    </row>
    <row r="387" spans="2:12" x14ac:dyDescent="0.2">
      <c r="B387" s="324">
        <v>43194</v>
      </c>
      <c r="C387" s="148"/>
      <c r="D387" s="148" t="s">
        <v>173</v>
      </c>
      <c r="E387" s="215"/>
      <c r="F387" s="216"/>
      <c r="G387" s="101"/>
      <c r="H387" s="100"/>
      <c r="I387" s="129"/>
      <c r="J387" s="111">
        <v>233498</v>
      </c>
      <c r="K387" s="374"/>
      <c r="L387" s="111"/>
    </row>
    <row r="388" spans="2:12" x14ac:dyDescent="0.2">
      <c r="B388" s="324">
        <v>43220</v>
      </c>
      <c r="C388" s="148"/>
      <c r="D388" s="148" t="s">
        <v>192</v>
      </c>
      <c r="E388" s="215"/>
      <c r="F388" s="216"/>
      <c r="G388" s="101"/>
      <c r="H388" s="100"/>
      <c r="I388" s="129"/>
      <c r="J388" s="111">
        <v>250000</v>
      </c>
      <c r="K388" s="374"/>
      <c r="L388" s="214"/>
    </row>
    <row r="389" spans="2:12" x14ac:dyDescent="0.2">
      <c r="B389" s="324">
        <v>43235</v>
      </c>
      <c r="C389" s="148"/>
      <c r="D389" s="148" t="s">
        <v>173</v>
      </c>
      <c r="E389" s="215"/>
      <c r="F389" s="216"/>
      <c r="G389" s="101"/>
      <c r="H389" s="100"/>
      <c r="I389" s="129"/>
      <c r="J389" s="111">
        <v>125097</v>
      </c>
      <c r="K389" s="374"/>
      <c r="L389" s="214"/>
    </row>
    <row r="390" spans="2:12" x14ac:dyDescent="0.2">
      <c r="B390" s="324">
        <v>43235</v>
      </c>
      <c r="C390" s="148"/>
      <c r="D390" s="148" t="s">
        <v>176</v>
      </c>
      <c r="E390" s="215"/>
      <c r="F390" s="216"/>
      <c r="G390" s="101"/>
      <c r="H390" s="100"/>
      <c r="I390" s="129"/>
      <c r="J390" s="111">
        <v>96900</v>
      </c>
      <c r="K390" s="374"/>
      <c r="L390" s="214"/>
    </row>
    <row r="391" spans="2:12" x14ac:dyDescent="0.2">
      <c r="B391" s="324">
        <v>43237</v>
      </c>
      <c r="C391" s="148"/>
      <c r="D391" s="148" t="s">
        <v>192</v>
      </c>
      <c r="E391" s="215"/>
      <c r="F391" s="216"/>
      <c r="G391" s="101"/>
      <c r="H391" s="100"/>
      <c r="I391" s="129"/>
      <c r="J391" s="111">
        <v>250000</v>
      </c>
      <c r="K391" s="374"/>
      <c r="L391" s="214"/>
    </row>
    <row r="392" spans="2:12" x14ac:dyDescent="0.2">
      <c r="B392" s="324">
        <v>43257</v>
      </c>
      <c r="C392" s="148"/>
      <c r="D392" s="148" t="s">
        <v>173</v>
      </c>
      <c r="E392" s="215"/>
      <c r="F392" s="216"/>
      <c r="G392" s="101"/>
      <c r="H392" s="100"/>
      <c r="I392" s="129"/>
      <c r="J392" s="111">
        <v>125097</v>
      </c>
      <c r="K392" s="374"/>
      <c r="L392" s="214"/>
    </row>
    <row r="393" spans="2:12" x14ac:dyDescent="0.2">
      <c r="B393" s="324">
        <v>43258</v>
      </c>
      <c r="C393" s="148"/>
      <c r="D393" s="148" t="s">
        <v>176</v>
      </c>
      <c r="E393" s="215"/>
      <c r="F393" s="216"/>
      <c r="G393" s="101"/>
      <c r="H393" s="100"/>
      <c r="I393" s="129"/>
      <c r="J393" s="111">
        <v>96900</v>
      </c>
      <c r="K393" s="374"/>
      <c r="L393" s="214"/>
    </row>
    <row r="394" spans="2:12" x14ac:dyDescent="0.2">
      <c r="B394" s="324">
        <v>43259</v>
      </c>
      <c r="C394" s="148"/>
      <c r="D394" s="148" t="s">
        <v>192</v>
      </c>
      <c r="E394" s="215"/>
      <c r="F394" s="216"/>
      <c r="G394" s="101"/>
      <c r="H394" s="100"/>
      <c r="I394" s="129"/>
      <c r="J394" s="111">
        <v>250000</v>
      </c>
      <c r="K394" s="374"/>
      <c r="L394" s="214"/>
    </row>
    <row r="395" spans="2:12" x14ac:dyDescent="0.2">
      <c r="B395" s="324">
        <v>43291</v>
      </c>
      <c r="C395" s="148"/>
      <c r="D395" s="148" t="s">
        <v>176</v>
      </c>
      <c r="E395" s="215"/>
      <c r="F395" s="216"/>
      <c r="G395" s="101"/>
      <c r="H395" s="100"/>
      <c r="I395" s="129"/>
      <c r="J395" s="111">
        <v>96900</v>
      </c>
      <c r="K395" s="374"/>
      <c r="L395" s="214"/>
    </row>
    <row r="396" spans="2:12" x14ac:dyDescent="0.2">
      <c r="B396" s="324">
        <v>43293</v>
      </c>
      <c r="C396" s="148"/>
      <c r="D396" s="148" t="s">
        <v>173</v>
      </c>
      <c r="E396" s="215"/>
      <c r="F396" s="216"/>
      <c r="G396" s="101"/>
      <c r="H396" s="100"/>
      <c r="I396" s="129"/>
      <c r="J396" s="111">
        <v>124383</v>
      </c>
      <c r="K396" s="374"/>
      <c r="L396" s="214"/>
    </row>
    <row r="397" spans="2:12" x14ac:dyDescent="0.2">
      <c r="B397" s="332" t="s">
        <v>131</v>
      </c>
      <c r="D397" s="103" t="s">
        <v>192</v>
      </c>
      <c r="E397" s="215"/>
      <c r="F397" s="216"/>
      <c r="G397" s="101"/>
      <c r="H397" s="100"/>
      <c r="I397" s="129"/>
      <c r="J397" s="342">
        <v>250000</v>
      </c>
      <c r="K397" s="374"/>
      <c r="L397" s="214"/>
    </row>
    <row r="398" spans="2:12" x14ac:dyDescent="0.2">
      <c r="B398" s="332" t="s">
        <v>131</v>
      </c>
      <c r="D398" s="103" t="s">
        <v>252</v>
      </c>
      <c r="E398" s="215"/>
      <c r="F398" s="216"/>
      <c r="G398" s="101"/>
      <c r="H398" s="100"/>
      <c r="I398" s="129"/>
      <c r="J398" s="345">
        <v>-1190</v>
      </c>
      <c r="K398" s="374"/>
      <c r="L398" s="214"/>
    </row>
    <row r="399" spans="2:12" x14ac:dyDescent="0.2">
      <c r="B399" s="324">
        <v>43321</v>
      </c>
      <c r="C399" s="148"/>
      <c r="D399" s="148" t="s">
        <v>173</v>
      </c>
      <c r="E399" s="215"/>
      <c r="F399" s="216"/>
      <c r="G399" s="101"/>
      <c r="H399" s="100"/>
      <c r="I399" s="129"/>
      <c r="J399" s="111">
        <v>126015</v>
      </c>
      <c r="K399" s="374"/>
      <c r="L399" s="214"/>
    </row>
    <row r="400" spans="2:12" x14ac:dyDescent="0.2">
      <c r="B400" s="324">
        <v>43321</v>
      </c>
      <c r="C400" s="148"/>
      <c r="D400" s="148" t="s">
        <v>176</v>
      </c>
      <c r="E400" s="215"/>
      <c r="F400" s="216"/>
      <c r="G400" s="101"/>
      <c r="H400" s="100"/>
      <c r="I400" s="129"/>
      <c r="J400" s="111">
        <v>96900</v>
      </c>
      <c r="K400" s="374"/>
      <c r="L400" s="214"/>
    </row>
    <row r="401" spans="2:12" x14ac:dyDescent="0.2">
      <c r="B401" s="324">
        <v>43336</v>
      </c>
      <c r="C401" s="148"/>
      <c r="D401" s="148" t="s">
        <v>192</v>
      </c>
      <c r="E401" s="215"/>
      <c r="F401" s="216"/>
      <c r="G401" s="101"/>
      <c r="H401" s="100"/>
      <c r="I401" s="129"/>
      <c r="J401" s="111">
        <v>250000</v>
      </c>
      <c r="K401" s="374"/>
      <c r="L401" s="214"/>
    </row>
    <row r="402" spans="2:12" x14ac:dyDescent="0.2">
      <c r="B402" s="324">
        <v>43350</v>
      </c>
      <c r="C402" s="148"/>
      <c r="D402" s="148" t="s">
        <v>173</v>
      </c>
      <c r="E402" s="215"/>
      <c r="F402" s="216"/>
      <c r="G402" s="101"/>
      <c r="H402" s="100"/>
      <c r="I402" s="129"/>
      <c r="J402" s="111">
        <v>132322</v>
      </c>
      <c r="K402" s="374"/>
      <c r="L402" s="214"/>
    </row>
    <row r="403" spans="2:12" x14ac:dyDescent="0.2">
      <c r="B403" s="324">
        <v>43361</v>
      </c>
      <c r="C403" s="148"/>
      <c r="D403" s="148" t="s">
        <v>192</v>
      </c>
      <c r="E403" s="215"/>
      <c r="F403" s="216"/>
      <c r="G403" s="101"/>
      <c r="H403" s="100"/>
      <c r="I403" s="129"/>
      <c r="J403" s="111">
        <v>250000</v>
      </c>
      <c r="K403" s="374"/>
      <c r="L403" s="214"/>
    </row>
    <row r="404" spans="2:12" x14ac:dyDescent="0.2">
      <c r="B404" s="324">
        <v>43389</v>
      </c>
      <c r="C404" s="148"/>
      <c r="D404" s="148" t="s">
        <v>173</v>
      </c>
      <c r="E404" s="215"/>
      <c r="F404" s="216"/>
      <c r="G404" s="101"/>
      <c r="H404" s="100"/>
      <c r="I404" s="129"/>
      <c r="J404" s="111">
        <v>132084</v>
      </c>
      <c r="K404" s="374"/>
      <c r="L404" s="214"/>
    </row>
    <row r="405" spans="2:12" x14ac:dyDescent="0.2">
      <c r="B405" s="324">
        <v>43390</v>
      </c>
      <c r="C405" s="148"/>
      <c r="D405" s="148" t="s">
        <v>192</v>
      </c>
      <c r="E405" s="215"/>
      <c r="F405" s="216"/>
      <c r="G405" s="101"/>
      <c r="H405" s="100"/>
      <c r="I405" s="129"/>
      <c r="J405" s="111">
        <v>250000</v>
      </c>
      <c r="K405" s="374"/>
      <c r="L405" s="214"/>
    </row>
    <row r="406" spans="2:12" x14ac:dyDescent="0.2">
      <c r="B406" s="324">
        <v>43413</v>
      </c>
      <c r="C406" s="148"/>
      <c r="D406" s="148" t="s">
        <v>173</v>
      </c>
      <c r="E406" s="215"/>
      <c r="F406" s="216"/>
      <c r="G406" s="101"/>
      <c r="H406" s="100"/>
      <c r="I406" s="129"/>
      <c r="J406" s="111">
        <v>130614</v>
      </c>
      <c r="K406" s="374"/>
      <c r="L406" s="214"/>
    </row>
    <row r="407" spans="2:12" x14ac:dyDescent="0.2">
      <c r="B407" s="324">
        <v>43417</v>
      </c>
      <c r="C407" s="148"/>
      <c r="D407" s="148" t="s">
        <v>192</v>
      </c>
      <c r="E407" s="215"/>
      <c r="F407" s="216"/>
      <c r="G407" s="101"/>
      <c r="H407" s="100"/>
      <c r="I407" s="129"/>
      <c r="J407" s="111">
        <v>250000</v>
      </c>
      <c r="K407" s="374"/>
      <c r="L407" s="214"/>
    </row>
    <row r="408" spans="2:12" x14ac:dyDescent="0.2">
      <c r="B408" s="406">
        <v>43440</v>
      </c>
      <c r="C408" s="407"/>
      <c r="D408" s="407" t="s">
        <v>292</v>
      </c>
      <c r="E408" s="215"/>
      <c r="F408" s="216"/>
      <c r="G408" s="101"/>
      <c r="H408" s="100">
        <v>1193066</v>
      </c>
      <c r="I408" s="129"/>
      <c r="J408" s="111"/>
      <c r="K408" s="374"/>
      <c r="L408" s="214"/>
    </row>
    <row r="409" spans="2:12" x14ac:dyDescent="0.2">
      <c r="B409" s="324">
        <v>43444</v>
      </c>
      <c r="C409" s="148"/>
      <c r="D409" s="148" t="s">
        <v>173</v>
      </c>
      <c r="E409" s="215"/>
      <c r="F409" s="216"/>
      <c r="G409" s="101"/>
      <c r="H409" s="100"/>
      <c r="I409" s="129"/>
      <c r="J409" s="111">
        <v>132064</v>
      </c>
      <c r="K409" s="374"/>
      <c r="L409" s="214"/>
    </row>
    <row r="410" spans="2:12" x14ac:dyDescent="0.2">
      <c r="B410" s="324"/>
      <c r="C410" s="148"/>
      <c r="D410" s="148" t="s">
        <v>192</v>
      </c>
      <c r="E410" s="215"/>
      <c r="F410" s="216"/>
      <c r="G410" s="101"/>
      <c r="H410" s="100"/>
      <c r="I410" s="129"/>
      <c r="J410" s="111">
        <v>250000</v>
      </c>
      <c r="K410" s="374"/>
      <c r="L410" s="214"/>
    </row>
    <row r="411" spans="2:12" x14ac:dyDescent="0.2">
      <c r="B411" s="324"/>
      <c r="C411" s="148"/>
      <c r="D411" s="148"/>
      <c r="E411" s="215"/>
      <c r="F411" s="216"/>
      <c r="G411" s="101"/>
      <c r="H411" s="100"/>
      <c r="I411" s="129"/>
      <c r="J411" s="111"/>
      <c r="K411" s="374"/>
      <c r="L411" s="214"/>
    </row>
    <row r="412" spans="2:12" x14ac:dyDescent="0.2">
      <c r="B412" s="324"/>
      <c r="C412" s="148"/>
      <c r="D412" s="148"/>
      <c r="E412" s="215"/>
      <c r="F412" s="216"/>
      <c r="G412" s="101"/>
      <c r="H412" s="100"/>
      <c r="I412" s="129"/>
      <c r="J412" s="111"/>
      <c r="K412" s="374"/>
      <c r="L412" s="214"/>
    </row>
    <row r="413" spans="2:12" x14ac:dyDescent="0.2">
      <c r="B413" s="324"/>
      <c r="C413" s="148"/>
      <c r="D413" s="148"/>
      <c r="E413" s="215"/>
      <c r="F413" s="216"/>
      <c r="G413" s="101"/>
      <c r="H413" s="100"/>
      <c r="I413" s="129"/>
      <c r="J413" s="111"/>
      <c r="K413" s="374"/>
      <c r="L413" s="214"/>
    </row>
    <row r="414" spans="2:12" ht="15.75" x14ac:dyDescent="0.25">
      <c r="B414" s="322"/>
      <c r="C414" s="232" t="s">
        <v>68</v>
      </c>
      <c r="D414" s="232" t="s">
        <v>69</v>
      </c>
      <c r="E414" s="234">
        <f>160000*12</f>
        <v>1920000</v>
      </c>
      <c r="F414" s="235">
        <f>SUM(F415:F439)</f>
        <v>0</v>
      </c>
      <c r="G414" s="235">
        <f>SUM(G415:G439)</f>
        <v>0</v>
      </c>
      <c r="H414" s="235">
        <f>SUM(H415:H438)</f>
        <v>360740</v>
      </c>
      <c r="I414" s="236">
        <f>E414+F414+G414-H414</f>
        <v>1559260</v>
      </c>
      <c r="J414" s="237">
        <f>SUM(J415:J438)</f>
        <v>1559260</v>
      </c>
      <c r="K414" s="373">
        <f>I414-J414</f>
        <v>0</v>
      </c>
      <c r="L414" s="394">
        <f>K414</f>
        <v>0</v>
      </c>
    </row>
    <row r="415" spans="2:12" x14ac:dyDescent="0.2">
      <c r="B415" s="324">
        <v>43115</v>
      </c>
      <c r="C415" s="148"/>
      <c r="D415" s="148" t="s">
        <v>174</v>
      </c>
      <c r="E415" s="215"/>
      <c r="F415" s="216"/>
      <c r="G415" s="99"/>
      <c r="H415" s="100"/>
      <c r="I415" s="129"/>
      <c r="J415" s="111">
        <v>41900</v>
      </c>
      <c r="K415" s="374"/>
      <c r="L415" s="214"/>
    </row>
    <row r="416" spans="2:12" x14ac:dyDescent="0.2">
      <c r="B416" s="324">
        <v>43115</v>
      </c>
      <c r="C416" s="148"/>
      <c r="D416" s="148" t="s">
        <v>175</v>
      </c>
      <c r="E416" s="215"/>
      <c r="F416" s="216"/>
      <c r="G416" s="99"/>
      <c r="H416" s="100"/>
      <c r="I416" s="129"/>
      <c r="J416" s="111">
        <v>61150</v>
      </c>
      <c r="K416" s="374"/>
      <c r="L416" s="214"/>
    </row>
    <row r="417" spans="2:12" x14ac:dyDescent="0.2">
      <c r="B417" s="324">
        <v>43150</v>
      </c>
      <c r="C417" s="148"/>
      <c r="D417" s="148" t="s">
        <v>174</v>
      </c>
      <c r="E417" s="215"/>
      <c r="F417" s="216"/>
      <c r="G417" s="99"/>
      <c r="H417" s="100"/>
      <c r="I417" s="129"/>
      <c r="J417" s="111">
        <v>69700</v>
      </c>
      <c r="K417" s="374"/>
      <c r="L417" s="214"/>
    </row>
    <row r="418" spans="2:12" x14ac:dyDescent="0.2">
      <c r="B418" s="324">
        <v>43150</v>
      </c>
      <c r="C418" s="148"/>
      <c r="D418" s="148" t="s">
        <v>175</v>
      </c>
      <c r="E418" s="215"/>
      <c r="F418" s="216"/>
      <c r="G418" s="99"/>
      <c r="H418" s="100"/>
      <c r="I418" s="129"/>
      <c r="J418" s="111">
        <v>62590</v>
      </c>
      <c r="K418" s="374"/>
      <c r="L418" s="214"/>
    </row>
    <row r="419" spans="2:12" x14ac:dyDescent="0.2">
      <c r="B419" s="324">
        <v>43175</v>
      </c>
      <c r="C419" s="148"/>
      <c r="D419" s="148" t="s">
        <v>175</v>
      </c>
      <c r="E419" s="215"/>
      <c r="F419" s="216"/>
      <c r="G419" s="99"/>
      <c r="H419" s="100"/>
      <c r="I419" s="129"/>
      <c r="J419" s="111">
        <v>62590</v>
      </c>
      <c r="K419" s="374"/>
      <c r="L419" s="214"/>
    </row>
    <row r="420" spans="2:12" x14ac:dyDescent="0.2">
      <c r="B420" s="324">
        <v>43175</v>
      </c>
      <c r="C420" s="148"/>
      <c r="D420" s="148" t="s">
        <v>174</v>
      </c>
      <c r="E420" s="215"/>
      <c r="F420" s="216"/>
      <c r="G420" s="99"/>
      <c r="H420" s="100"/>
      <c r="I420" s="129"/>
      <c r="J420" s="111">
        <v>69700</v>
      </c>
      <c r="K420" s="374"/>
      <c r="L420" s="214"/>
    </row>
    <row r="421" spans="2:12" x14ac:dyDescent="0.2">
      <c r="B421" s="324">
        <v>43201</v>
      </c>
      <c r="C421" s="148"/>
      <c r="D421" s="148" t="s">
        <v>175</v>
      </c>
      <c r="E421" s="215"/>
      <c r="F421" s="216"/>
      <c r="G421" s="99"/>
      <c r="H421" s="100"/>
      <c r="I421" s="129"/>
      <c r="J421" s="111">
        <v>62590</v>
      </c>
      <c r="K421" s="374"/>
      <c r="L421" s="214"/>
    </row>
    <row r="422" spans="2:12" x14ac:dyDescent="0.2">
      <c r="B422" s="324">
        <v>43201</v>
      </c>
      <c r="C422" s="148"/>
      <c r="D422" s="148" t="s">
        <v>174</v>
      </c>
      <c r="E422" s="215"/>
      <c r="F422" s="216"/>
      <c r="G422" s="99"/>
      <c r="H422" s="100"/>
      <c r="I422" s="129"/>
      <c r="J422" s="111">
        <v>69700</v>
      </c>
      <c r="K422" s="374"/>
      <c r="L422" s="214"/>
    </row>
    <row r="423" spans="2:12" x14ac:dyDescent="0.2">
      <c r="B423" s="324">
        <v>43238</v>
      </c>
      <c r="C423" s="148"/>
      <c r="D423" s="148" t="s">
        <v>175</v>
      </c>
      <c r="E423" s="215"/>
      <c r="F423" s="216"/>
      <c r="G423" s="99"/>
      <c r="H423" s="100"/>
      <c r="I423" s="129"/>
      <c r="J423" s="111">
        <v>62590</v>
      </c>
      <c r="K423" s="374"/>
      <c r="L423" s="214"/>
    </row>
    <row r="424" spans="2:12" x14ac:dyDescent="0.2">
      <c r="B424" s="324">
        <v>43238</v>
      </c>
      <c r="C424" s="148"/>
      <c r="D424" s="148" t="s">
        <v>174</v>
      </c>
      <c r="E424" s="215"/>
      <c r="F424" s="216"/>
      <c r="G424" s="99"/>
      <c r="H424" s="100"/>
      <c r="I424" s="129"/>
      <c r="J424" s="111">
        <v>69700</v>
      </c>
      <c r="K424" s="374"/>
      <c r="L424" s="214"/>
    </row>
    <row r="425" spans="2:12" x14ac:dyDescent="0.2">
      <c r="B425" s="324">
        <v>43265</v>
      </c>
      <c r="C425" s="148"/>
      <c r="D425" s="148" t="s">
        <v>175</v>
      </c>
      <c r="E425" s="215"/>
      <c r="F425" s="216"/>
      <c r="G425" s="99"/>
      <c r="H425" s="100"/>
      <c r="I425" s="129"/>
      <c r="J425" s="111">
        <v>62590</v>
      </c>
      <c r="K425" s="374"/>
      <c r="L425" s="214"/>
    </row>
    <row r="426" spans="2:12" x14ac:dyDescent="0.2">
      <c r="B426" s="324">
        <v>43293</v>
      </c>
      <c r="C426" s="148"/>
      <c r="D426" s="148" t="s">
        <v>175</v>
      </c>
      <c r="E426" s="215"/>
      <c r="F426" s="216"/>
      <c r="G426" s="99"/>
      <c r="H426" s="100"/>
      <c r="I426" s="129"/>
      <c r="J426" s="111">
        <v>125800</v>
      </c>
      <c r="K426" s="374"/>
      <c r="L426" s="214"/>
    </row>
    <row r="427" spans="2:12" x14ac:dyDescent="0.2">
      <c r="B427" s="324">
        <v>43293</v>
      </c>
      <c r="C427" s="148"/>
      <c r="D427" s="148" t="s">
        <v>174</v>
      </c>
      <c r="E427" s="215"/>
      <c r="F427" s="216"/>
      <c r="G427" s="99"/>
      <c r="H427" s="100"/>
      <c r="I427" s="129"/>
      <c r="J427" s="111">
        <v>139800</v>
      </c>
      <c r="K427" s="374"/>
      <c r="L427" s="214"/>
    </row>
    <row r="428" spans="2:12" x14ac:dyDescent="0.2">
      <c r="B428" s="324">
        <v>43321</v>
      </c>
      <c r="C428" s="148"/>
      <c r="D428" s="148" t="s">
        <v>174</v>
      </c>
      <c r="E428" s="215"/>
      <c r="F428" s="216"/>
      <c r="G428" s="99"/>
      <c r="H428" s="100"/>
      <c r="I428" s="129"/>
      <c r="J428" s="111">
        <v>69700</v>
      </c>
      <c r="K428" s="374"/>
      <c r="L428" s="214"/>
    </row>
    <row r="429" spans="2:12" x14ac:dyDescent="0.2">
      <c r="B429" s="324">
        <v>43350</v>
      </c>
      <c r="C429" s="148"/>
      <c r="D429" s="148" t="s">
        <v>174</v>
      </c>
      <c r="E429" s="215"/>
      <c r="F429" s="216"/>
      <c r="G429" s="99"/>
      <c r="H429" s="100"/>
      <c r="I429" s="129"/>
      <c r="J429" s="111">
        <v>69700</v>
      </c>
      <c r="K429" s="374"/>
      <c r="L429" s="214"/>
    </row>
    <row r="430" spans="2:12" x14ac:dyDescent="0.2">
      <c r="B430" s="324">
        <v>43350</v>
      </c>
      <c r="C430" s="148"/>
      <c r="D430" s="148" t="s">
        <v>175</v>
      </c>
      <c r="E430" s="215"/>
      <c r="F430" s="216"/>
      <c r="G430" s="99"/>
      <c r="H430" s="100"/>
      <c r="I430" s="129"/>
      <c r="J430" s="111">
        <v>62590</v>
      </c>
      <c r="K430" s="374"/>
      <c r="L430" s="214"/>
    </row>
    <row r="431" spans="2:12" x14ac:dyDescent="0.2">
      <c r="B431" s="324">
        <v>43389</v>
      </c>
      <c r="C431" s="148"/>
      <c r="D431" s="148" t="s">
        <v>174</v>
      </c>
      <c r="E431" s="215"/>
      <c r="F431" s="216"/>
      <c r="G431" s="99"/>
      <c r="H431" s="100"/>
      <c r="I431" s="129"/>
      <c r="J431" s="111">
        <v>69700</v>
      </c>
      <c r="K431" s="374"/>
      <c r="L431" s="214"/>
    </row>
    <row r="432" spans="2:12" x14ac:dyDescent="0.2">
      <c r="B432" s="324">
        <v>43389</v>
      </c>
      <c r="C432" s="148"/>
      <c r="D432" s="148" t="s">
        <v>175</v>
      </c>
      <c r="E432" s="215"/>
      <c r="F432" s="216"/>
      <c r="G432" s="99"/>
      <c r="H432" s="100"/>
      <c r="I432" s="129"/>
      <c r="J432" s="111">
        <v>62590</v>
      </c>
      <c r="K432" s="374"/>
      <c r="L432" s="214"/>
    </row>
    <row r="433" spans="2:12" x14ac:dyDescent="0.2">
      <c r="B433" s="324">
        <v>43417</v>
      </c>
      <c r="C433" s="148"/>
      <c r="D433" s="148" t="s">
        <v>175</v>
      </c>
      <c r="E433" s="215"/>
      <c r="F433" s="216"/>
      <c r="G433" s="99"/>
      <c r="H433" s="100"/>
      <c r="I433" s="129"/>
      <c r="J433" s="111">
        <v>62590</v>
      </c>
      <c r="K433" s="374"/>
      <c r="L433" s="214"/>
    </row>
    <row r="434" spans="2:12" x14ac:dyDescent="0.2">
      <c r="B434" s="324">
        <v>43417</v>
      </c>
      <c r="C434" s="148"/>
      <c r="D434" s="148" t="s">
        <v>174</v>
      </c>
      <c r="E434" s="215"/>
      <c r="F434" s="216"/>
      <c r="G434" s="99"/>
      <c r="H434" s="100"/>
      <c r="I434" s="129"/>
      <c r="J434" s="111">
        <v>69700</v>
      </c>
      <c r="K434" s="374"/>
      <c r="L434" s="214"/>
    </row>
    <row r="435" spans="2:12" x14ac:dyDescent="0.2">
      <c r="B435" s="406">
        <v>43440</v>
      </c>
      <c r="C435" s="407"/>
      <c r="D435" s="407" t="s">
        <v>306</v>
      </c>
      <c r="E435" s="215"/>
      <c r="F435" s="216"/>
      <c r="G435" s="99"/>
      <c r="H435" s="100">
        <v>360740</v>
      </c>
      <c r="I435" s="129"/>
      <c r="J435" s="111"/>
      <c r="K435" s="374"/>
      <c r="L435" s="214"/>
    </row>
    <row r="436" spans="2:12" x14ac:dyDescent="0.2">
      <c r="B436" s="324">
        <v>43440</v>
      </c>
      <c r="C436" s="148"/>
      <c r="D436" s="148" t="s">
        <v>174</v>
      </c>
      <c r="E436" s="215"/>
      <c r="F436" s="216"/>
      <c r="G436" s="99"/>
      <c r="H436" s="100"/>
      <c r="I436" s="129"/>
      <c r="J436" s="111">
        <v>69700</v>
      </c>
      <c r="K436" s="374"/>
      <c r="L436" s="214"/>
    </row>
    <row r="437" spans="2:12" x14ac:dyDescent="0.2">
      <c r="B437" s="324">
        <v>43444</v>
      </c>
      <c r="C437" s="148"/>
      <c r="D437" s="148" t="s">
        <v>175</v>
      </c>
      <c r="E437" s="215"/>
      <c r="F437" s="216"/>
      <c r="G437" s="99"/>
      <c r="H437" s="100"/>
      <c r="I437" s="129"/>
      <c r="J437" s="111">
        <v>62590</v>
      </c>
      <c r="K437" s="374"/>
      <c r="L437" s="214"/>
    </row>
    <row r="438" spans="2:12" x14ac:dyDescent="0.2">
      <c r="B438" s="324"/>
      <c r="C438" s="148"/>
      <c r="D438" s="148"/>
      <c r="E438" s="215"/>
      <c r="F438" s="216"/>
      <c r="G438" s="99"/>
      <c r="H438" s="100"/>
      <c r="I438" s="129"/>
      <c r="J438" s="111"/>
      <c r="K438" s="374"/>
      <c r="L438" s="214"/>
    </row>
    <row r="439" spans="2:12" ht="15.75" x14ac:dyDescent="0.25">
      <c r="B439" s="322"/>
      <c r="C439" s="232" t="s">
        <v>70</v>
      </c>
      <c r="D439" s="232" t="s">
        <v>71</v>
      </c>
      <c r="E439" s="234">
        <v>1500000</v>
      </c>
      <c r="F439" s="235">
        <f>SUM(F440:F449)</f>
        <v>0</v>
      </c>
      <c r="G439" s="235">
        <f>SUM(G440:G449)</f>
        <v>0</v>
      </c>
      <c r="H439" s="235">
        <f>SUM(H440:H449)</f>
        <v>1000000</v>
      </c>
      <c r="I439" s="236">
        <f>E439+F439+G439-H439</f>
        <v>500000</v>
      </c>
      <c r="J439" s="235">
        <f>SUM(J440:J449)</f>
        <v>500000</v>
      </c>
      <c r="K439" s="373">
        <f>I439-J439</f>
        <v>0</v>
      </c>
      <c r="L439" s="394">
        <f>K439</f>
        <v>0</v>
      </c>
    </row>
    <row r="440" spans="2:12" x14ac:dyDescent="0.2">
      <c r="B440" s="324">
        <v>43315</v>
      </c>
      <c r="C440" s="148"/>
      <c r="D440" s="149" t="s">
        <v>254</v>
      </c>
      <c r="E440" s="215"/>
      <c r="F440" s="216"/>
      <c r="G440" s="99"/>
      <c r="H440" s="100"/>
      <c r="I440" s="129"/>
      <c r="J440" s="111">
        <v>500000</v>
      </c>
      <c r="K440" s="374"/>
      <c r="L440" s="214"/>
    </row>
    <row r="441" spans="2:12" x14ac:dyDescent="0.2">
      <c r="B441" s="406">
        <v>43440</v>
      </c>
      <c r="C441" s="407"/>
      <c r="D441" s="407" t="s">
        <v>306</v>
      </c>
      <c r="E441" s="215"/>
      <c r="F441" s="216"/>
      <c r="G441" s="99"/>
      <c r="H441" s="100">
        <v>1000000</v>
      </c>
      <c r="I441" s="129"/>
      <c r="J441" s="111"/>
      <c r="K441" s="374"/>
      <c r="L441" s="214"/>
    </row>
    <row r="442" spans="2:12" x14ac:dyDescent="0.2">
      <c r="B442" s="324"/>
      <c r="C442" s="148"/>
      <c r="D442" s="149"/>
      <c r="E442" s="215"/>
      <c r="F442" s="216"/>
      <c r="G442" s="99"/>
      <c r="H442" s="100"/>
      <c r="I442" s="129"/>
      <c r="J442" s="111"/>
      <c r="K442" s="374"/>
      <c r="L442" s="214"/>
    </row>
    <row r="443" spans="2:12" x14ac:dyDescent="0.2">
      <c r="B443" s="324"/>
      <c r="C443" s="148"/>
      <c r="D443" s="149"/>
      <c r="E443" s="215"/>
      <c r="F443" s="216"/>
      <c r="G443" s="99"/>
      <c r="H443" s="100"/>
      <c r="I443" s="129"/>
      <c r="J443" s="111"/>
      <c r="K443" s="374"/>
      <c r="L443" s="214"/>
    </row>
    <row r="444" spans="2:12" x14ac:dyDescent="0.2">
      <c r="B444" s="324"/>
      <c r="C444" s="148"/>
      <c r="D444" s="149"/>
      <c r="E444" s="215"/>
      <c r="F444" s="216"/>
      <c r="G444" s="99"/>
      <c r="H444" s="100"/>
      <c r="I444" s="129"/>
      <c r="J444" s="111"/>
      <c r="K444" s="374"/>
      <c r="L444" s="214"/>
    </row>
    <row r="445" spans="2:12" x14ac:dyDescent="0.2">
      <c r="B445" s="324"/>
      <c r="C445" s="148"/>
      <c r="D445" s="149"/>
      <c r="E445" s="215"/>
      <c r="F445" s="216"/>
      <c r="G445" s="99"/>
      <c r="H445" s="100"/>
      <c r="I445" s="129"/>
      <c r="J445" s="111"/>
      <c r="K445" s="374"/>
      <c r="L445" s="214"/>
    </row>
    <row r="446" spans="2:12" x14ac:dyDescent="0.2">
      <c r="B446" s="324"/>
      <c r="C446" s="148"/>
      <c r="D446" s="149"/>
      <c r="E446" s="215"/>
      <c r="F446" s="216"/>
      <c r="G446" s="99"/>
      <c r="H446" s="100"/>
      <c r="I446" s="129"/>
      <c r="J446" s="111"/>
      <c r="K446" s="374"/>
      <c r="L446" s="214"/>
    </row>
    <row r="447" spans="2:12" x14ac:dyDescent="0.2">
      <c r="B447" s="324"/>
      <c r="C447" s="148"/>
      <c r="D447" s="149"/>
      <c r="E447" s="215"/>
      <c r="F447" s="216"/>
      <c r="G447" s="99"/>
      <c r="H447" s="100"/>
      <c r="I447" s="129"/>
      <c r="J447" s="111"/>
      <c r="K447" s="374"/>
      <c r="L447" s="214"/>
    </row>
    <row r="448" spans="2:12" x14ac:dyDescent="0.2">
      <c r="B448" s="324"/>
      <c r="C448" s="148"/>
      <c r="D448" s="149"/>
      <c r="E448" s="215"/>
      <c r="F448" s="216"/>
      <c r="G448" s="99"/>
      <c r="H448" s="100"/>
      <c r="I448" s="129"/>
      <c r="J448" s="111"/>
      <c r="K448" s="374"/>
      <c r="L448" s="214"/>
    </row>
    <row r="449" spans="2:13" x14ac:dyDescent="0.2">
      <c r="B449" s="324"/>
      <c r="C449" s="148"/>
      <c r="D449" s="149"/>
      <c r="E449" s="215"/>
      <c r="F449" s="216"/>
      <c r="G449" s="99"/>
      <c r="H449" s="100"/>
      <c r="I449" s="129"/>
      <c r="J449" s="111"/>
      <c r="K449" s="374"/>
      <c r="L449" s="214"/>
    </row>
    <row r="450" spans="2:13" ht="15.75" x14ac:dyDescent="0.25">
      <c r="B450" s="322"/>
      <c r="C450" s="232" t="s">
        <v>72</v>
      </c>
      <c r="D450" s="232" t="s">
        <v>73</v>
      </c>
      <c r="E450" s="234">
        <v>0</v>
      </c>
      <c r="F450" s="235"/>
      <c r="G450" s="236"/>
      <c r="H450" s="236"/>
      <c r="I450" s="236">
        <f>E450+F450+G450-H450</f>
        <v>0</v>
      </c>
      <c r="J450" s="237"/>
      <c r="K450" s="383"/>
      <c r="L450" s="214"/>
    </row>
    <row r="451" spans="2:13" x14ac:dyDescent="0.2">
      <c r="B451" s="324"/>
      <c r="C451" s="148"/>
      <c r="D451" s="148"/>
      <c r="E451" s="215"/>
      <c r="F451" s="216"/>
      <c r="G451" s="99"/>
      <c r="H451" s="100"/>
      <c r="I451" s="129"/>
      <c r="J451" s="111"/>
      <c r="K451" s="374"/>
      <c r="L451" s="214"/>
    </row>
    <row r="452" spans="2:13" x14ac:dyDescent="0.2">
      <c r="B452" s="324"/>
      <c r="C452" s="148"/>
      <c r="D452" s="148"/>
      <c r="E452" s="215"/>
      <c r="F452" s="216"/>
      <c r="G452" s="99"/>
      <c r="H452" s="100"/>
      <c r="I452" s="129"/>
      <c r="J452" s="111"/>
      <c r="K452" s="374"/>
      <c r="L452" s="214"/>
    </row>
    <row r="453" spans="2:13" x14ac:dyDescent="0.2">
      <c r="B453" s="324"/>
      <c r="C453" s="148"/>
      <c r="D453" s="148"/>
      <c r="E453" s="215"/>
      <c r="F453" s="216"/>
      <c r="G453" s="99"/>
      <c r="H453" s="100"/>
      <c r="I453" s="129"/>
      <c r="J453" s="111"/>
      <c r="K453" s="374"/>
      <c r="L453" s="214"/>
    </row>
    <row r="454" spans="2:13" ht="15.75" x14ac:dyDescent="0.25">
      <c r="B454" s="322"/>
      <c r="C454" s="232" t="s">
        <v>74</v>
      </c>
      <c r="D454" s="232" t="s">
        <v>75</v>
      </c>
      <c r="E454" s="234">
        <v>8000000</v>
      </c>
      <c r="F454" s="235">
        <f>SUM(F455:F462)</f>
        <v>0</v>
      </c>
      <c r="G454" s="235">
        <f>SUM(G455:G462)</f>
        <v>631976</v>
      </c>
      <c r="H454" s="235">
        <f>SUM(H455:H462)</f>
        <v>845724</v>
      </c>
      <c r="I454" s="236">
        <f>E454+F454+G454-H454</f>
        <v>7786252</v>
      </c>
      <c r="J454" s="235">
        <f>SUM(J455:J462)</f>
        <v>7786252</v>
      </c>
      <c r="K454" s="384">
        <f>I454-J454</f>
        <v>0</v>
      </c>
      <c r="L454" s="214"/>
    </row>
    <row r="455" spans="2:13" x14ac:dyDescent="0.2">
      <c r="B455" s="324">
        <v>43160</v>
      </c>
      <c r="C455" s="148"/>
      <c r="D455" s="148" t="s">
        <v>208</v>
      </c>
      <c r="E455" s="215"/>
      <c r="F455" s="216"/>
      <c r="G455" s="101"/>
      <c r="H455" s="100"/>
      <c r="I455" s="129"/>
      <c r="J455" s="111">
        <v>701976</v>
      </c>
      <c r="K455" s="374"/>
      <c r="L455" s="214"/>
    </row>
    <row r="456" spans="2:13" x14ac:dyDescent="0.2">
      <c r="B456" s="324">
        <v>43171</v>
      </c>
      <c r="C456" s="148"/>
      <c r="D456" s="148" t="s">
        <v>217</v>
      </c>
      <c r="E456" s="215"/>
      <c r="F456" s="216"/>
      <c r="G456" s="101">
        <v>631976</v>
      </c>
      <c r="H456" s="100"/>
      <c r="I456" s="129"/>
      <c r="J456" s="111"/>
      <c r="K456" s="374"/>
      <c r="L456" s="349"/>
      <c r="M456" s="301"/>
    </row>
    <row r="457" spans="2:13" x14ac:dyDescent="0.2">
      <c r="B457" s="324">
        <v>43180</v>
      </c>
      <c r="C457" s="148"/>
      <c r="D457" s="148" t="s">
        <v>218</v>
      </c>
      <c r="E457" s="215"/>
      <c r="F457" s="216"/>
      <c r="G457" s="101"/>
      <c r="H457" s="100"/>
      <c r="I457" s="129"/>
      <c r="J457" s="111">
        <v>7084276</v>
      </c>
      <c r="K457" s="374"/>
      <c r="L457" s="214"/>
    </row>
    <row r="458" spans="2:13" x14ac:dyDescent="0.2">
      <c r="B458" s="406">
        <v>43440</v>
      </c>
      <c r="C458" s="407"/>
      <c r="D458" s="407" t="s">
        <v>306</v>
      </c>
      <c r="E458" s="215"/>
      <c r="F458" s="216"/>
      <c r="G458" s="101"/>
      <c r="H458" s="100">
        <v>845724</v>
      </c>
      <c r="I458" s="129"/>
      <c r="J458" s="111"/>
      <c r="K458" s="374"/>
      <c r="L458" s="214"/>
    </row>
    <row r="459" spans="2:13" x14ac:dyDescent="0.2">
      <c r="B459" s="324"/>
      <c r="C459" s="148"/>
      <c r="D459" s="148"/>
      <c r="E459" s="215"/>
      <c r="F459" s="216"/>
      <c r="G459" s="101"/>
      <c r="H459" s="100"/>
      <c r="I459" s="129"/>
      <c r="J459" s="111"/>
      <c r="K459" s="374"/>
      <c r="L459" s="214"/>
    </row>
    <row r="460" spans="2:13" x14ac:dyDescent="0.2">
      <c r="B460" s="324"/>
      <c r="C460" s="148"/>
      <c r="D460" s="148"/>
      <c r="E460" s="215"/>
      <c r="F460" s="216"/>
      <c r="G460" s="101"/>
      <c r="H460" s="100"/>
      <c r="I460" s="129"/>
      <c r="J460" s="111"/>
      <c r="K460" s="374"/>
      <c r="L460" s="214"/>
    </row>
    <row r="461" spans="2:13" x14ac:dyDescent="0.2">
      <c r="B461" s="324"/>
      <c r="C461" s="148"/>
      <c r="D461" s="148"/>
      <c r="E461" s="215"/>
      <c r="F461" s="216"/>
      <c r="G461" s="101"/>
      <c r="H461" s="100"/>
      <c r="I461" s="129"/>
      <c r="J461" s="111"/>
      <c r="K461" s="374"/>
      <c r="L461" s="214"/>
    </row>
    <row r="462" spans="2:13" x14ac:dyDescent="0.2">
      <c r="B462" s="324"/>
      <c r="C462" s="148"/>
      <c r="D462" s="148"/>
      <c r="E462" s="215"/>
      <c r="F462" s="216"/>
      <c r="G462" s="101"/>
      <c r="H462" s="100"/>
      <c r="I462" s="129"/>
      <c r="J462" s="111"/>
      <c r="K462" s="374"/>
      <c r="L462" s="214"/>
    </row>
    <row r="463" spans="2:13" ht="15.75" x14ac:dyDescent="0.25">
      <c r="B463" s="322"/>
      <c r="C463" s="232" t="s">
        <v>76</v>
      </c>
      <c r="D463" s="232" t="s">
        <v>77</v>
      </c>
      <c r="E463" s="234">
        <v>5000000</v>
      </c>
      <c r="F463" s="235">
        <f>SUM(F464:F472)</f>
        <v>20000000</v>
      </c>
      <c r="G463" s="235">
        <f>SUM(G464:G472)</f>
        <v>2000000</v>
      </c>
      <c r="H463" s="235">
        <f>SUM(H464:H472)</f>
        <v>0</v>
      </c>
      <c r="I463" s="236">
        <f>E463+F463+G463-H463</f>
        <v>27000000</v>
      </c>
      <c r="J463" s="235">
        <f>SUM(J464:J472)</f>
        <v>27000000</v>
      </c>
      <c r="K463" s="373">
        <f>I463-J463</f>
        <v>0</v>
      </c>
      <c r="L463" s="214"/>
    </row>
    <row r="464" spans="2:13" x14ac:dyDescent="0.2">
      <c r="B464" s="324"/>
      <c r="C464" s="148"/>
      <c r="D464" s="214" t="s">
        <v>184</v>
      </c>
      <c r="E464" s="215"/>
      <c r="F464" s="216">
        <v>20000000</v>
      </c>
      <c r="G464" s="99"/>
      <c r="H464" s="100"/>
      <c r="I464" s="129"/>
      <c r="J464" s="111"/>
      <c r="K464" s="374"/>
      <c r="L464" s="214"/>
    </row>
    <row r="465" spans="2:12" x14ac:dyDescent="0.2">
      <c r="B465" s="324">
        <v>43381</v>
      </c>
      <c r="C465" s="148"/>
      <c r="D465" s="148" t="s">
        <v>267</v>
      </c>
      <c r="E465" s="215"/>
      <c r="F465" s="216"/>
      <c r="G465" s="99">
        <v>2000000</v>
      </c>
      <c r="H465" s="100"/>
      <c r="I465" s="129"/>
      <c r="J465" s="111"/>
      <c r="K465" s="374"/>
      <c r="L465" s="214"/>
    </row>
    <row r="466" spans="2:12" x14ac:dyDescent="0.2">
      <c r="B466" s="324">
        <v>43390</v>
      </c>
      <c r="C466" s="148"/>
      <c r="D466" s="149" t="s">
        <v>271</v>
      </c>
      <c r="E466" s="215"/>
      <c r="F466" s="216"/>
      <c r="G466" s="99"/>
      <c r="H466" s="100"/>
      <c r="I466" s="129"/>
      <c r="J466" s="111">
        <v>27000000</v>
      </c>
      <c r="K466" s="374"/>
      <c r="L466" s="214"/>
    </row>
    <row r="467" spans="2:12" x14ac:dyDescent="0.2">
      <c r="B467" s="324"/>
      <c r="C467" s="148"/>
      <c r="D467" s="149"/>
      <c r="E467" s="215"/>
      <c r="F467" s="216"/>
      <c r="G467" s="99"/>
      <c r="H467" s="100"/>
      <c r="I467" s="129"/>
      <c r="J467" s="111"/>
      <c r="K467" s="374"/>
      <c r="L467" s="214"/>
    </row>
    <row r="468" spans="2:12" x14ac:dyDescent="0.2">
      <c r="B468" s="324"/>
      <c r="C468" s="148"/>
      <c r="D468" s="149"/>
      <c r="E468" s="215"/>
      <c r="F468" s="216"/>
      <c r="G468" s="99"/>
      <c r="H468" s="100"/>
      <c r="I468" s="129"/>
      <c r="J468" s="111"/>
      <c r="K468" s="374"/>
      <c r="L468" s="214"/>
    </row>
    <row r="469" spans="2:12" x14ac:dyDescent="0.2">
      <c r="B469" s="324"/>
      <c r="C469" s="148"/>
      <c r="D469" s="149"/>
      <c r="E469" s="215"/>
      <c r="F469" s="216"/>
      <c r="G469" s="99"/>
      <c r="H469" s="100"/>
      <c r="I469" s="129"/>
      <c r="J469" s="111"/>
      <c r="K469" s="374"/>
      <c r="L469" s="214"/>
    </row>
    <row r="470" spans="2:12" x14ac:dyDescent="0.2">
      <c r="B470" s="324"/>
      <c r="C470" s="148"/>
      <c r="D470" s="149"/>
      <c r="E470" s="215"/>
      <c r="F470" s="216"/>
      <c r="G470" s="99"/>
      <c r="H470" s="100"/>
      <c r="I470" s="129"/>
      <c r="J470" s="111"/>
      <c r="K470" s="374"/>
      <c r="L470" s="214"/>
    </row>
    <row r="471" spans="2:12" x14ac:dyDescent="0.2">
      <c r="B471" s="324"/>
      <c r="C471" s="148"/>
      <c r="D471" s="149"/>
      <c r="E471" s="215"/>
      <c r="F471" s="216"/>
      <c r="G471" s="99"/>
      <c r="H471" s="100"/>
      <c r="I471" s="129"/>
      <c r="J471" s="111"/>
      <c r="K471" s="374"/>
      <c r="L471" s="214"/>
    </row>
    <row r="472" spans="2:12" x14ac:dyDescent="0.2">
      <c r="B472" s="324"/>
      <c r="C472" s="148"/>
      <c r="D472" s="149"/>
      <c r="E472" s="215"/>
      <c r="F472" s="216"/>
      <c r="G472" s="99"/>
      <c r="H472" s="100"/>
      <c r="I472" s="129"/>
      <c r="J472" s="111"/>
      <c r="K472" s="374"/>
      <c r="L472" s="214"/>
    </row>
    <row r="473" spans="2:12" ht="15.75" x14ac:dyDescent="0.25">
      <c r="B473" s="322"/>
      <c r="C473" s="232" t="s">
        <v>78</v>
      </c>
      <c r="D473" s="232" t="s">
        <v>79</v>
      </c>
      <c r="E473" s="234">
        <v>0</v>
      </c>
      <c r="F473" s="235">
        <f>SUM(F474:F479)</f>
        <v>3000000</v>
      </c>
      <c r="G473" s="235">
        <f>SUM(G474:G479)</f>
        <v>0</v>
      </c>
      <c r="H473" s="235">
        <f>SUM(H474:H479)</f>
        <v>953000</v>
      </c>
      <c r="I473" s="236">
        <f>E473+F473+G473-H473</f>
        <v>2047000</v>
      </c>
      <c r="J473" s="235">
        <f>SUM(J474:J479)</f>
        <v>2047000</v>
      </c>
      <c r="K473" s="373">
        <f>I473-J473</f>
        <v>0</v>
      </c>
      <c r="L473" s="214"/>
    </row>
    <row r="474" spans="2:12" x14ac:dyDescent="0.2">
      <c r="B474" s="324"/>
      <c r="C474" s="148"/>
      <c r="D474" s="214" t="s">
        <v>184</v>
      </c>
      <c r="E474" s="215"/>
      <c r="F474" s="216">
        <v>3000000</v>
      </c>
      <c r="G474" s="99"/>
      <c r="H474" s="100"/>
      <c r="I474" s="129"/>
      <c r="J474" s="111"/>
      <c r="K474" s="374"/>
      <c r="L474" s="214"/>
    </row>
    <row r="475" spans="2:12" ht="14.25" x14ac:dyDescent="0.2">
      <c r="B475" s="324">
        <v>43235</v>
      </c>
      <c r="C475" s="148"/>
      <c r="D475" t="s">
        <v>229</v>
      </c>
      <c r="E475" s="215"/>
      <c r="F475" s="216"/>
      <c r="G475" s="99"/>
      <c r="H475" s="100"/>
      <c r="I475" s="129"/>
      <c r="J475" s="111">
        <v>500000</v>
      </c>
      <c r="K475" s="374"/>
      <c r="L475" s="214"/>
    </row>
    <row r="476" spans="2:12" x14ac:dyDescent="0.2">
      <c r="B476" s="324">
        <v>43322</v>
      </c>
      <c r="C476" s="148"/>
      <c r="D476" s="148" t="s">
        <v>249</v>
      </c>
      <c r="E476" s="215"/>
      <c r="F476" s="216"/>
      <c r="G476" s="99"/>
      <c r="H476" s="100"/>
      <c r="I476" s="129"/>
      <c r="J476" s="111">
        <v>952000</v>
      </c>
      <c r="K476" s="374"/>
      <c r="L476" s="214"/>
    </row>
    <row r="477" spans="2:12" x14ac:dyDescent="0.2">
      <c r="B477" s="359">
        <v>43346</v>
      </c>
      <c r="C477" s="360"/>
      <c r="D477" s="360" t="s">
        <v>273</v>
      </c>
      <c r="E477" s="361"/>
      <c r="F477" s="362"/>
      <c r="G477" s="363"/>
      <c r="H477" s="363"/>
      <c r="I477" s="363"/>
      <c r="J477" s="358">
        <v>595000</v>
      </c>
      <c r="K477" s="374"/>
      <c r="L477" s="214"/>
    </row>
    <row r="478" spans="2:12" x14ac:dyDescent="0.2">
      <c r="B478" s="406">
        <v>43440</v>
      </c>
      <c r="C478" s="407"/>
      <c r="D478" s="407" t="s">
        <v>306</v>
      </c>
      <c r="E478" s="215"/>
      <c r="F478" s="216"/>
      <c r="G478" s="99"/>
      <c r="H478" s="100">
        <v>953000</v>
      </c>
      <c r="I478" s="129"/>
      <c r="J478" s="111"/>
      <c r="K478" s="374"/>
      <c r="L478" s="214"/>
    </row>
    <row r="479" spans="2:12" x14ac:dyDescent="0.2">
      <c r="B479" s="324"/>
      <c r="C479" s="148"/>
      <c r="D479" s="148"/>
      <c r="E479" s="215"/>
      <c r="F479" s="216"/>
      <c r="G479" s="99"/>
      <c r="H479" s="100"/>
      <c r="I479" s="129"/>
      <c r="J479" s="111"/>
      <c r="K479" s="374"/>
      <c r="L479" s="214"/>
    </row>
    <row r="480" spans="2:12" ht="15.75" x14ac:dyDescent="0.25">
      <c r="B480" s="322"/>
      <c r="C480" s="232" t="s">
        <v>80</v>
      </c>
      <c r="D480" s="232" t="s">
        <v>81</v>
      </c>
      <c r="E480" s="234">
        <v>0</v>
      </c>
      <c r="F480" s="235">
        <f>SUM(F481:F485)</f>
        <v>15000000</v>
      </c>
      <c r="G480" s="235">
        <f>SUM(G481:G485)</f>
        <v>6000000</v>
      </c>
      <c r="H480" s="235">
        <f>SUM(H481:H485)</f>
        <v>99010</v>
      </c>
      <c r="I480" s="236">
        <f>E480+F480+G480-H480</f>
        <v>20900990</v>
      </c>
      <c r="J480" s="235">
        <f>SUM(J481:J485)</f>
        <v>20900990</v>
      </c>
      <c r="K480" s="373">
        <f>I480-J480</f>
        <v>0</v>
      </c>
      <c r="L480" s="214"/>
    </row>
    <row r="481" spans="2:12" x14ac:dyDescent="0.2">
      <c r="B481" s="324"/>
      <c r="C481" s="148"/>
      <c r="D481" s="214" t="s">
        <v>184</v>
      </c>
      <c r="E481" s="215"/>
      <c r="F481" s="216">
        <v>15000000</v>
      </c>
      <c r="G481" s="99"/>
      <c r="H481" s="100"/>
      <c r="I481" s="129"/>
      <c r="J481" s="111"/>
      <c r="K481" s="374"/>
      <c r="L481" s="214"/>
    </row>
    <row r="482" spans="2:12" x14ac:dyDescent="0.2">
      <c r="B482" s="324">
        <v>43381</v>
      </c>
      <c r="C482" s="148"/>
      <c r="D482" s="148" t="s">
        <v>267</v>
      </c>
      <c r="E482" s="215"/>
      <c r="F482" s="216"/>
      <c r="G482" s="99">
        <v>6000000</v>
      </c>
      <c r="H482" s="100"/>
      <c r="I482" s="129"/>
      <c r="J482" s="111"/>
      <c r="K482" s="374"/>
      <c r="L482" s="214"/>
    </row>
    <row r="483" spans="2:12" x14ac:dyDescent="0.2">
      <c r="B483" s="324">
        <v>43392</v>
      </c>
      <c r="C483" s="148"/>
      <c r="D483" s="148" t="s">
        <v>272</v>
      </c>
      <c r="E483" s="215"/>
      <c r="F483" s="216"/>
      <c r="G483" s="99"/>
      <c r="H483" s="100"/>
      <c r="I483" s="129"/>
      <c r="J483" s="111">
        <v>20900990</v>
      </c>
      <c r="K483" s="374"/>
      <c r="L483" s="214"/>
    </row>
    <row r="484" spans="2:12" x14ac:dyDescent="0.2">
      <c r="B484" s="406">
        <v>43440</v>
      </c>
      <c r="C484" s="407"/>
      <c r="D484" s="407" t="s">
        <v>306</v>
      </c>
      <c r="E484" s="215"/>
      <c r="F484" s="216"/>
      <c r="G484" s="99"/>
      <c r="H484" s="100">
        <v>99010</v>
      </c>
      <c r="I484" s="129"/>
      <c r="J484" s="111"/>
      <c r="K484" s="374"/>
      <c r="L484" s="214"/>
    </row>
    <row r="485" spans="2:12" x14ac:dyDescent="0.2">
      <c r="B485" s="324"/>
      <c r="C485" s="148"/>
      <c r="D485" s="148"/>
      <c r="E485" s="215"/>
      <c r="F485" s="216"/>
      <c r="G485" s="99"/>
      <c r="H485" s="100"/>
      <c r="I485" s="129"/>
      <c r="J485" s="111"/>
      <c r="K485" s="374"/>
      <c r="L485" s="214"/>
    </row>
    <row r="486" spans="2:12" ht="15.75" x14ac:dyDescent="0.25">
      <c r="B486" s="322"/>
      <c r="C486" s="232">
        <v>2020120213</v>
      </c>
      <c r="D486" s="232" t="s">
        <v>83</v>
      </c>
      <c r="E486" s="234">
        <v>0</v>
      </c>
      <c r="F486" s="235">
        <f>SUM(F487:F490)</f>
        <v>3000000</v>
      </c>
      <c r="G486" s="235">
        <f>SUM(G487:G490)</f>
        <v>0</v>
      </c>
      <c r="H486" s="235">
        <f>SUM(H487:H490)</f>
        <v>3000000</v>
      </c>
      <c r="I486" s="236">
        <f>E486+F486+G486-H486</f>
        <v>0</v>
      </c>
      <c r="J486" s="235">
        <f>SUM(J487:J490)</f>
        <v>0</v>
      </c>
      <c r="K486" s="373">
        <f>I486-J486</f>
        <v>0</v>
      </c>
      <c r="L486" s="214"/>
    </row>
    <row r="487" spans="2:12" x14ac:dyDescent="0.2">
      <c r="B487" s="324">
        <v>42759</v>
      </c>
      <c r="C487" s="148"/>
      <c r="D487" s="214" t="s">
        <v>184</v>
      </c>
      <c r="E487" s="215"/>
      <c r="F487" s="216">
        <v>3000000</v>
      </c>
      <c r="G487" s="99"/>
      <c r="H487" s="100"/>
      <c r="I487" s="129"/>
      <c r="J487" s="111"/>
      <c r="K487" s="374"/>
      <c r="L487" s="214"/>
    </row>
    <row r="488" spans="2:12" x14ac:dyDescent="0.2">
      <c r="B488" s="324">
        <v>43381</v>
      </c>
      <c r="C488" s="148"/>
      <c r="D488" s="148" t="s">
        <v>268</v>
      </c>
      <c r="E488" s="215"/>
      <c r="F488" s="216"/>
      <c r="G488" s="99"/>
      <c r="H488" s="100">
        <v>3000000</v>
      </c>
      <c r="I488" s="129"/>
      <c r="J488" s="111"/>
      <c r="K488" s="374"/>
      <c r="L488" s="214"/>
    </row>
    <row r="489" spans="2:12" x14ac:dyDescent="0.2">
      <c r="B489" s="324"/>
      <c r="C489" s="148"/>
      <c r="D489" s="148"/>
      <c r="E489" s="215"/>
      <c r="F489" s="216"/>
      <c r="G489" s="99"/>
      <c r="H489" s="100"/>
      <c r="I489" s="129"/>
      <c r="J489" s="111"/>
      <c r="K489" s="374"/>
      <c r="L489" s="214"/>
    </row>
    <row r="490" spans="2:12" x14ac:dyDescent="0.2">
      <c r="B490" s="324"/>
      <c r="C490" s="148"/>
      <c r="D490" s="148"/>
      <c r="E490" s="215"/>
      <c r="F490" s="216"/>
      <c r="G490" s="99"/>
      <c r="H490" s="100"/>
      <c r="I490" s="129"/>
      <c r="J490" s="111"/>
      <c r="K490" s="374"/>
      <c r="L490" s="214"/>
    </row>
    <row r="491" spans="2:12" ht="15.75" x14ac:dyDescent="0.25">
      <c r="B491" s="322"/>
      <c r="C491" s="232" t="s">
        <v>84</v>
      </c>
      <c r="D491" s="232" t="s">
        <v>85</v>
      </c>
      <c r="E491" s="234">
        <v>0</v>
      </c>
      <c r="F491" s="235"/>
      <c r="G491" s="236"/>
      <c r="H491" s="236"/>
      <c r="I491" s="236">
        <f>E491+F491+G491-H491</f>
        <v>0</v>
      </c>
      <c r="J491" s="237"/>
      <c r="K491" s="383"/>
      <c r="L491" s="214"/>
    </row>
    <row r="492" spans="2:12" x14ac:dyDescent="0.2">
      <c r="B492" s="324"/>
      <c r="C492" s="148"/>
      <c r="D492" s="148"/>
      <c r="E492" s="215"/>
      <c r="F492" s="216"/>
      <c r="G492" s="99"/>
      <c r="H492" s="100"/>
      <c r="I492" s="129"/>
      <c r="J492" s="111"/>
      <c r="K492" s="374"/>
      <c r="L492" s="214"/>
    </row>
    <row r="493" spans="2:12" ht="15.75" x14ac:dyDescent="0.25">
      <c r="B493" s="322"/>
      <c r="C493" s="232">
        <v>2020120215</v>
      </c>
      <c r="D493" s="232" t="s">
        <v>118</v>
      </c>
      <c r="E493" s="234">
        <v>950000</v>
      </c>
      <c r="F493" s="235">
        <f>SUM(F494:F499)</f>
        <v>0</v>
      </c>
      <c r="G493" s="235">
        <f>SUM(G494:G495)</f>
        <v>340000</v>
      </c>
      <c r="H493" s="235">
        <f>SUM(H494:H499)</f>
        <v>88000</v>
      </c>
      <c r="I493" s="236">
        <f>E493+F493+G493-H493</f>
        <v>1202000</v>
      </c>
      <c r="J493" s="235">
        <f>SUM(J494:J495)</f>
        <v>1202000</v>
      </c>
      <c r="K493" s="373">
        <f>I493-J493</f>
        <v>0</v>
      </c>
      <c r="L493" s="214"/>
    </row>
    <row r="494" spans="2:12" x14ac:dyDescent="0.2">
      <c r="B494" s="406">
        <v>43440</v>
      </c>
      <c r="C494" s="407"/>
      <c r="D494" s="407" t="s">
        <v>291</v>
      </c>
      <c r="E494" s="215"/>
      <c r="F494" s="216"/>
      <c r="G494" s="101">
        <v>340000</v>
      </c>
      <c r="H494" s="100"/>
      <c r="I494" s="129"/>
      <c r="J494" s="111"/>
      <c r="K494" s="374"/>
      <c r="L494" s="214"/>
    </row>
    <row r="495" spans="2:12" x14ac:dyDescent="0.2">
      <c r="B495" s="324"/>
      <c r="C495" s="148"/>
      <c r="D495" s="148" t="s">
        <v>295</v>
      </c>
      <c r="E495" s="215"/>
      <c r="F495" s="216"/>
      <c r="G495" s="101"/>
      <c r="H495" s="100"/>
      <c r="I495" s="129"/>
      <c r="J495" s="111">
        <v>1202000</v>
      </c>
      <c r="K495" s="374"/>
      <c r="L495" s="214"/>
    </row>
    <row r="496" spans="2:12" x14ac:dyDescent="0.2">
      <c r="B496" s="417">
        <v>43462</v>
      </c>
      <c r="C496" s="418"/>
      <c r="D496" s="418" t="s">
        <v>317</v>
      </c>
      <c r="E496" s="215"/>
      <c r="F496" s="216"/>
      <c r="G496" s="101"/>
      <c r="H496" s="100">
        <v>88000</v>
      </c>
      <c r="I496" s="129"/>
      <c r="J496" s="111"/>
      <c r="K496" s="374"/>
      <c r="L496" s="214"/>
    </row>
    <row r="497" spans="2:12" ht="18" x14ac:dyDescent="0.25">
      <c r="B497" s="335"/>
      <c r="C497" s="314">
        <v>20201203</v>
      </c>
      <c r="D497" s="314" t="s">
        <v>191</v>
      </c>
      <c r="E497" s="315">
        <v>0</v>
      </c>
      <c r="F497" s="244">
        <f>SUM(F499:F517)</f>
        <v>0</v>
      </c>
      <c r="G497" s="244">
        <f>G498</f>
        <v>1092063</v>
      </c>
      <c r="H497" s="244">
        <f>H498</f>
        <v>0</v>
      </c>
      <c r="I497" s="244">
        <f>I498</f>
        <v>1092063</v>
      </c>
      <c r="J497" s="244">
        <f>J498</f>
        <v>1092063</v>
      </c>
      <c r="K497" s="380">
        <f>I497-J497</f>
        <v>0</v>
      </c>
      <c r="L497" s="214"/>
    </row>
    <row r="498" spans="2:12" ht="18" x14ac:dyDescent="0.25">
      <c r="B498" s="322"/>
      <c r="C498" s="231">
        <v>2020120301</v>
      </c>
      <c r="D498" s="231"/>
      <c r="E498" s="316">
        <f>SUM(E499:E513)</f>
        <v>0</v>
      </c>
      <c r="F498" s="316">
        <f>SUM(F499:F513)</f>
        <v>0</v>
      </c>
      <c r="G498" s="316">
        <f>SUM(G499:G513)</f>
        <v>1092063</v>
      </c>
      <c r="H498" s="316">
        <f>SUM(H499:H513)</f>
        <v>0</v>
      </c>
      <c r="I498" s="236">
        <f>E498+F498+G498-H498</f>
        <v>1092063</v>
      </c>
      <c r="J498" s="316">
        <f>SUM(J499:J513)</f>
        <v>1092063</v>
      </c>
      <c r="K498" s="385">
        <f>I498-J498</f>
        <v>0</v>
      </c>
      <c r="L498" s="214"/>
    </row>
    <row r="499" spans="2:12" x14ac:dyDescent="0.2">
      <c r="B499" s="323">
        <v>42745</v>
      </c>
      <c r="C499" s="148"/>
      <c r="D499" s="230" t="s">
        <v>221</v>
      </c>
      <c r="E499" s="215"/>
      <c r="F499" s="216"/>
      <c r="G499" s="101">
        <v>1000000</v>
      </c>
      <c r="H499" s="100"/>
      <c r="I499" s="129"/>
      <c r="J499" s="111"/>
      <c r="K499" s="374"/>
      <c r="L499" s="214"/>
    </row>
    <row r="500" spans="2:12" x14ac:dyDescent="0.2">
      <c r="B500" s="336">
        <v>43237</v>
      </c>
      <c r="C500" s="148"/>
      <c r="D500" s="317" t="s">
        <v>234</v>
      </c>
      <c r="E500" s="215"/>
      <c r="F500" s="216"/>
      <c r="G500" s="101"/>
      <c r="H500" s="100"/>
      <c r="I500" s="111"/>
      <c r="J500" s="103">
        <v>222173</v>
      </c>
      <c r="K500" s="374"/>
      <c r="L500" s="214"/>
    </row>
    <row r="501" spans="2:12" x14ac:dyDescent="0.2">
      <c r="B501" s="336"/>
      <c r="C501" s="148"/>
      <c r="D501" s="317" t="s">
        <v>129</v>
      </c>
      <c r="E501" s="215"/>
      <c r="F501" s="216"/>
      <c r="G501" s="101"/>
      <c r="H501" s="100"/>
      <c r="I501" s="129"/>
      <c r="J501" s="111">
        <v>112931</v>
      </c>
      <c r="K501" s="374"/>
      <c r="L501" s="214"/>
    </row>
    <row r="502" spans="2:12" x14ac:dyDescent="0.2">
      <c r="B502" s="336">
        <v>43285</v>
      </c>
      <c r="C502" s="148"/>
      <c r="D502" s="317" t="s">
        <v>130</v>
      </c>
      <c r="E502" s="215"/>
      <c r="F502" s="216"/>
      <c r="G502" s="101"/>
      <c r="H502" s="100"/>
      <c r="I502" s="129"/>
      <c r="J502" s="111">
        <v>93653</v>
      </c>
      <c r="K502" s="374"/>
      <c r="L502" s="214"/>
    </row>
    <row r="503" spans="2:12" x14ac:dyDescent="0.2">
      <c r="B503" s="336">
        <v>43313</v>
      </c>
      <c r="C503" s="148"/>
      <c r="D503" s="317" t="s">
        <v>131</v>
      </c>
      <c r="E503" s="215"/>
      <c r="F503" s="216"/>
      <c r="G503" s="101"/>
      <c r="H503" s="100"/>
      <c r="I503" s="129"/>
      <c r="J503" s="111">
        <v>144823</v>
      </c>
      <c r="K503" s="374"/>
      <c r="L503" s="214"/>
    </row>
    <row r="504" spans="2:12" x14ac:dyDescent="0.2">
      <c r="B504" s="336">
        <v>43403</v>
      </c>
      <c r="C504" s="148"/>
      <c r="D504" s="317" t="s">
        <v>277</v>
      </c>
      <c r="E504" s="215"/>
      <c r="F504" s="216"/>
      <c r="G504" s="101"/>
      <c r="H504" s="100"/>
      <c r="I504" s="129"/>
      <c r="J504" s="111">
        <v>167552</v>
      </c>
      <c r="K504" s="374"/>
      <c r="L504" s="214"/>
    </row>
    <row r="505" spans="2:12" x14ac:dyDescent="0.2">
      <c r="B505" s="336">
        <v>43405</v>
      </c>
      <c r="C505" s="148"/>
      <c r="D505" s="317" t="s">
        <v>134</v>
      </c>
      <c r="E505" s="215"/>
      <c r="F505" s="216"/>
      <c r="G505" s="101"/>
      <c r="H505" s="100"/>
      <c r="I505" s="129"/>
      <c r="J505" s="111">
        <v>138397</v>
      </c>
      <c r="K505" s="374"/>
      <c r="L505" s="214"/>
    </row>
    <row r="506" spans="2:12" x14ac:dyDescent="0.2">
      <c r="B506" s="336">
        <v>43435</v>
      </c>
      <c r="C506" s="148"/>
      <c r="D506" s="317" t="s">
        <v>135</v>
      </c>
      <c r="E506" s="215"/>
      <c r="F506" s="216"/>
      <c r="G506" s="101"/>
      <c r="H506" s="100"/>
      <c r="I506" s="129"/>
      <c r="J506" s="111">
        <v>80563</v>
      </c>
      <c r="K506" s="374"/>
      <c r="L506" s="214"/>
    </row>
    <row r="507" spans="2:12" x14ac:dyDescent="0.2">
      <c r="B507" s="417">
        <v>43440</v>
      </c>
      <c r="C507" s="418"/>
      <c r="D507" s="418" t="s">
        <v>316</v>
      </c>
      <c r="E507" s="215"/>
      <c r="F507" s="216"/>
      <c r="G507" s="101">
        <v>92063</v>
      </c>
      <c r="H507" s="100"/>
      <c r="I507" s="129"/>
      <c r="J507" s="111"/>
      <c r="K507" s="374"/>
      <c r="L507" s="214"/>
    </row>
    <row r="508" spans="2:12" x14ac:dyDescent="0.2">
      <c r="B508" s="355">
        <v>43462</v>
      </c>
      <c r="C508" s="148"/>
      <c r="D508" s="317" t="s">
        <v>136</v>
      </c>
      <c r="E508" s="215"/>
      <c r="F508" s="216"/>
      <c r="G508" s="101"/>
      <c r="H508" s="100"/>
      <c r="I508" s="129"/>
      <c r="J508" s="111">
        <v>131971</v>
      </c>
      <c r="K508" s="374"/>
      <c r="L508" s="214"/>
    </row>
    <row r="509" spans="2:12" x14ac:dyDescent="0.2">
      <c r="B509" s="336"/>
      <c r="C509" s="148"/>
      <c r="D509" s="317"/>
      <c r="E509" s="215"/>
      <c r="F509" s="216"/>
      <c r="G509" s="101"/>
      <c r="H509" s="100"/>
      <c r="I509" s="129"/>
      <c r="J509" s="111"/>
      <c r="K509" s="374"/>
      <c r="L509" s="214"/>
    </row>
    <row r="510" spans="2:12" x14ac:dyDescent="0.2">
      <c r="B510" s="336"/>
      <c r="C510" s="148"/>
      <c r="D510" s="317"/>
      <c r="E510" s="215"/>
      <c r="F510" s="216"/>
      <c r="G510" s="101"/>
      <c r="H510" s="100"/>
      <c r="I510" s="129"/>
      <c r="J510" s="111"/>
      <c r="K510" s="374"/>
      <c r="L510" s="214"/>
    </row>
    <row r="511" spans="2:12" x14ac:dyDescent="0.2">
      <c r="B511" s="336"/>
      <c r="C511" s="148"/>
      <c r="D511" s="317"/>
      <c r="E511" s="215"/>
      <c r="F511" s="216"/>
      <c r="G511" s="101"/>
      <c r="H511" s="100"/>
      <c r="I511" s="129"/>
      <c r="J511" s="111"/>
      <c r="K511" s="374"/>
      <c r="L511" s="214"/>
    </row>
    <row r="512" spans="2:12" x14ac:dyDescent="0.2">
      <c r="B512" s="324"/>
      <c r="C512" s="148"/>
      <c r="D512" s="148"/>
      <c r="E512" s="215"/>
      <c r="F512" s="216"/>
      <c r="G512" s="101"/>
      <c r="H512" s="100"/>
      <c r="I512" s="129"/>
      <c r="J512" s="111"/>
      <c r="K512" s="374"/>
      <c r="L512" s="214"/>
    </row>
    <row r="513" spans="2:12" x14ac:dyDescent="0.2">
      <c r="B513" s="324"/>
      <c r="C513" s="148"/>
      <c r="D513" s="148"/>
      <c r="E513" s="215"/>
      <c r="F513" s="216"/>
      <c r="G513" s="101"/>
      <c r="H513" s="100"/>
      <c r="I513" s="129"/>
      <c r="J513" s="111"/>
      <c r="K513" s="374"/>
      <c r="L513" s="214"/>
    </row>
    <row r="514" spans="2:12" x14ac:dyDescent="0.2">
      <c r="B514" s="324"/>
      <c r="C514" s="148"/>
      <c r="D514" s="148"/>
      <c r="E514" s="215"/>
      <c r="F514" s="216"/>
      <c r="G514" s="101"/>
      <c r="H514" s="100"/>
      <c r="I514" s="129"/>
      <c r="J514" s="111"/>
      <c r="K514" s="374"/>
      <c r="L514" s="214"/>
    </row>
    <row r="515" spans="2:12" s="283" customFormat="1" ht="36" x14ac:dyDescent="0.25">
      <c r="B515" s="337"/>
      <c r="C515" s="280" t="s">
        <v>86</v>
      </c>
      <c r="D515" s="281" t="s">
        <v>155</v>
      </c>
      <c r="E515" s="282">
        <f t="shared" ref="E515:J515" si="2">ROUND((E516+E526+E541+E559),0)</f>
        <v>83777303</v>
      </c>
      <c r="F515" s="282">
        <f t="shared" si="2"/>
        <v>0</v>
      </c>
      <c r="G515" s="282">
        <f t="shared" si="2"/>
        <v>0</v>
      </c>
      <c r="H515" s="282">
        <f t="shared" si="2"/>
        <v>9309781</v>
      </c>
      <c r="I515" s="282">
        <f t="shared" si="2"/>
        <v>74467522</v>
      </c>
      <c r="J515" s="282">
        <f t="shared" si="2"/>
        <v>74467522</v>
      </c>
      <c r="K515" s="386">
        <f>I515-J515</f>
        <v>0</v>
      </c>
      <c r="L515" s="398"/>
    </row>
    <row r="516" spans="2:12" ht="15" x14ac:dyDescent="0.25">
      <c r="B516" s="333"/>
      <c r="C516" s="260" t="s">
        <v>88</v>
      </c>
      <c r="D516" s="260" t="s">
        <v>89</v>
      </c>
      <c r="E516" s="261">
        <v>13146618</v>
      </c>
      <c r="F516" s="262">
        <f>SUM(F517:F525)</f>
        <v>0</v>
      </c>
      <c r="G516" s="262">
        <f>SUM(G517:G525)</f>
        <v>0</v>
      </c>
      <c r="H516" s="262">
        <f>SUM(H517:H525)</f>
        <v>148421</v>
      </c>
      <c r="I516" s="263">
        <f>E516+F516+G516-H516</f>
        <v>12998197</v>
      </c>
      <c r="J516" s="279">
        <f>SUM(J517:J525)</f>
        <v>12998197</v>
      </c>
      <c r="K516" s="382">
        <f>I516-J516</f>
        <v>0</v>
      </c>
      <c r="L516" s="214"/>
    </row>
    <row r="517" spans="2:12" x14ac:dyDescent="0.2">
      <c r="B517" s="324"/>
      <c r="C517" s="148"/>
      <c r="D517" s="148"/>
      <c r="E517" s="215"/>
      <c r="F517" s="216"/>
      <c r="G517" s="99"/>
      <c r="H517" s="100"/>
      <c r="I517" s="129"/>
      <c r="J517" s="111"/>
      <c r="K517" s="374"/>
      <c r="L517" s="214"/>
    </row>
    <row r="518" spans="2:12" x14ac:dyDescent="0.2">
      <c r="B518" s="406">
        <v>43440</v>
      </c>
      <c r="C518" s="407"/>
      <c r="D518" s="407" t="s">
        <v>306</v>
      </c>
      <c r="E518" s="215"/>
      <c r="F518" s="216"/>
      <c r="G518" s="99"/>
      <c r="H518" s="100">
        <v>148421</v>
      </c>
      <c r="I518" s="129"/>
      <c r="J518" s="111"/>
      <c r="K518" s="374"/>
      <c r="L518" s="214"/>
    </row>
    <row r="519" spans="2:12" x14ac:dyDescent="0.2">
      <c r="B519" s="421">
        <v>43462</v>
      </c>
      <c r="C519" s="318"/>
      <c r="D519" s="318" t="s">
        <v>318</v>
      </c>
      <c r="E519" s="215"/>
      <c r="F519" s="216"/>
      <c r="G519" s="99"/>
      <c r="H519" s="100"/>
      <c r="I519" s="129"/>
      <c r="J519" s="111">
        <v>12998197</v>
      </c>
      <c r="K519" s="374"/>
      <c r="L519" s="214"/>
    </row>
    <row r="520" spans="2:12" x14ac:dyDescent="0.2">
      <c r="B520" s="324"/>
      <c r="C520" s="148"/>
      <c r="D520" s="148"/>
      <c r="E520" s="215"/>
      <c r="F520" s="216"/>
      <c r="G520" s="99"/>
      <c r="H520" s="100"/>
      <c r="I520" s="129"/>
      <c r="J520" s="111"/>
      <c r="K520" s="374"/>
      <c r="L520" s="214"/>
    </row>
    <row r="521" spans="2:12" x14ac:dyDescent="0.2">
      <c r="B521" s="324"/>
      <c r="C521" s="148"/>
      <c r="D521" s="148"/>
      <c r="E521" s="215"/>
      <c r="F521" s="216"/>
      <c r="G521" s="99"/>
      <c r="H521" s="100"/>
      <c r="I521" s="129"/>
      <c r="J521" s="111"/>
      <c r="K521" s="374"/>
      <c r="L521" s="214"/>
    </row>
    <row r="522" spans="2:12" x14ac:dyDescent="0.2">
      <c r="B522" s="324"/>
      <c r="C522" s="148"/>
      <c r="D522" s="148"/>
      <c r="E522" s="215"/>
      <c r="F522" s="216"/>
      <c r="G522" s="99"/>
      <c r="H522" s="100"/>
      <c r="I522" s="129"/>
      <c r="J522" s="111"/>
      <c r="K522" s="374"/>
      <c r="L522" s="214"/>
    </row>
    <row r="523" spans="2:12" x14ac:dyDescent="0.2">
      <c r="B523" s="324"/>
      <c r="C523" s="148"/>
      <c r="D523" s="148"/>
      <c r="E523" s="215"/>
      <c r="F523" s="216"/>
      <c r="G523" s="99"/>
      <c r="H523" s="100"/>
      <c r="I523" s="129"/>
      <c r="J523" s="111"/>
      <c r="K523" s="374"/>
      <c r="L523" s="214"/>
    </row>
    <row r="524" spans="2:12" x14ac:dyDescent="0.2">
      <c r="B524" s="324"/>
      <c r="C524" s="148"/>
      <c r="D524" s="148"/>
      <c r="E524" s="215"/>
      <c r="F524" s="216"/>
      <c r="G524" s="99"/>
      <c r="H524" s="100"/>
      <c r="I524" s="129"/>
      <c r="J524" s="111"/>
      <c r="K524" s="374"/>
      <c r="L524" s="214"/>
    </row>
    <row r="525" spans="2:12" x14ac:dyDescent="0.2">
      <c r="B525" s="324"/>
      <c r="C525" s="148"/>
      <c r="D525" s="148"/>
      <c r="E525" s="215"/>
      <c r="F525" s="216"/>
      <c r="G525" s="99"/>
      <c r="H525" s="100"/>
      <c r="I525" s="129"/>
      <c r="J525" s="111"/>
      <c r="K525" s="374"/>
      <c r="L525" s="214"/>
    </row>
    <row r="526" spans="2:12" ht="15" x14ac:dyDescent="0.25">
      <c r="B526" s="333"/>
      <c r="C526" s="260">
        <v>2020110302</v>
      </c>
      <c r="D526" s="260" t="s">
        <v>91</v>
      </c>
      <c r="E526" s="261">
        <v>43392204</v>
      </c>
      <c r="F526" s="262">
        <f>SUM(F527:F540)</f>
        <v>0</v>
      </c>
      <c r="G526" s="262">
        <f>SUM(G527:G540)</f>
        <v>0</v>
      </c>
      <c r="H526" s="262">
        <f>SUM(H527:H540)</f>
        <v>781111</v>
      </c>
      <c r="I526" s="263">
        <f>E526+F526+G526-H526</f>
        <v>42611093</v>
      </c>
      <c r="J526" s="279">
        <f>SUM(J527:J540)</f>
        <v>42611093</v>
      </c>
      <c r="K526" s="382">
        <f>I526-J526</f>
        <v>0</v>
      </c>
      <c r="L526" s="214"/>
    </row>
    <row r="527" spans="2:12" x14ac:dyDescent="0.2">
      <c r="B527" s="324">
        <v>43129</v>
      </c>
      <c r="C527" s="148"/>
      <c r="D527" s="148" t="s">
        <v>183</v>
      </c>
      <c r="E527" s="215"/>
      <c r="F527" s="216"/>
      <c r="G527" s="99"/>
      <c r="H527" s="100"/>
      <c r="I527" s="129"/>
      <c r="J527" s="111">
        <f>4924400-1567700</f>
        <v>3356700</v>
      </c>
      <c r="K527" s="387"/>
      <c r="L527" s="214"/>
    </row>
    <row r="528" spans="2:12" x14ac:dyDescent="0.2">
      <c r="B528" s="324">
        <v>43157</v>
      </c>
      <c r="C528" s="148"/>
      <c r="D528" s="148" t="s">
        <v>199</v>
      </c>
      <c r="E528" s="215"/>
      <c r="F528" s="216"/>
      <c r="G528" s="99"/>
      <c r="H528" s="100"/>
      <c r="I528" s="129"/>
      <c r="J528" s="111">
        <f>4924400-1575607</f>
        <v>3348793</v>
      </c>
      <c r="K528" s="387"/>
      <c r="L528" s="214"/>
    </row>
    <row r="529" spans="2:12" x14ac:dyDescent="0.2">
      <c r="B529" s="324">
        <v>43181</v>
      </c>
      <c r="C529" s="148"/>
      <c r="D529" s="148" t="s">
        <v>127</v>
      </c>
      <c r="E529" s="215"/>
      <c r="F529" s="216"/>
      <c r="G529" s="99"/>
      <c r="H529" s="100"/>
      <c r="I529" s="129"/>
      <c r="J529" s="111">
        <f>5864000-1876212</f>
        <v>3987788</v>
      </c>
      <c r="K529" s="387"/>
      <c r="L529" s="214"/>
    </row>
    <row r="530" spans="2:12" x14ac:dyDescent="0.2">
      <c r="B530" s="324">
        <v>43215</v>
      </c>
      <c r="C530" s="148"/>
      <c r="D530" s="148" t="s">
        <v>128</v>
      </c>
      <c r="E530" s="215"/>
      <c r="F530" s="216"/>
      <c r="G530" s="99"/>
      <c r="H530" s="100"/>
      <c r="I530" s="129"/>
      <c r="J530" s="111">
        <v>3561692</v>
      </c>
      <c r="K530" s="387"/>
      <c r="L530" s="214"/>
    </row>
    <row r="531" spans="2:12" x14ac:dyDescent="0.2">
      <c r="B531" s="324">
        <v>43245</v>
      </c>
      <c r="C531" s="148"/>
      <c r="D531" s="148" t="s">
        <v>129</v>
      </c>
      <c r="E531" s="215"/>
      <c r="F531" s="216"/>
      <c r="G531" s="99"/>
      <c r="H531" s="100"/>
      <c r="I531" s="129"/>
      <c r="J531" s="111">
        <f>5237500-1675808</f>
        <v>3561692</v>
      </c>
      <c r="K531" s="387"/>
      <c r="L531" s="214"/>
    </row>
    <row r="532" spans="2:12" x14ac:dyDescent="0.2">
      <c r="B532" s="324">
        <v>43277</v>
      </c>
      <c r="C532" s="148"/>
      <c r="D532" s="148" t="s">
        <v>130</v>
      </c>
      <c r="E532" s="215"/>
      <c r="F532" s="216"/>
      <c r="G532" s="99"/>
      <c r="H532" s="100"/>
      <c r="I532" s="129"/>
      <c r="J532" s="111">
        <v>3520684</v>
      </c>
      <c r="K532" s="387"/>
      <c r="L532" s="214"/>
    </row>
    <row r="533" spans="2:12" x14ac:dyDescent="0.2">
      <c r="B533" s="324">
        <v>43305</v>
      </c>
      <c r="C533" s="148"/>
      <c r="D533" s="148" t="s">
        <v>131</v>
      </c>
      <c r="E533" s="215"/>
      <c r="F533" s="216"/>
      <c r="G533" s="99"/>
      <c r="H533" s="100"/>
      <c r="I533" s="129"/>
      <c r="J533" s="111">
        <v>3504483</v>
      </c>
      <c r="K533" s="387"/>
      <c r="L533" s="214"/>
    </row>
    <row r="534" spans="2:12" x14ac:dyDescent="0.2">
      <c r="B534" s="324" t="s">
        <v>131</v>
      </c>
      <c r="C534" s="148"/>
      <c r="D534" s="148" t="s">
        <v>255</v>
      </c>
      <c r="E534" s="215"/>
      <c r="F534" s="216"/>
      <c r="G534" s="99"/>
      <c r="H534" s="100"/>
      <c r="I534" s="129"/>
      <c r="J534" s="111">
        <v>-21529</v>
      </c>
      <c r="K534" s="387"/>
      <c r="L534" s="214"/>
    </row>
    <row r="535" spans="2:12" x14ac:dyDescent="0.2">
      <c r="B535" s="324">
        <v>43336</v>
      </c>
      <c r="C535" s="148"/>
      <c r="D535" s="148" t="s">
        <v>132</v>
      </c>
      <c r="E535" s="215"/>
      <c r="F535" s="216"/>
      <c r="G535" s="99"/>
      <c r="H535" s="100"/>
      <c r="I535" s="129"/>
      <c r="J535" s="111">
        <v>3558158</v>
      </c>
      <c r="K535" s="387"/>
      <c r="L535" s="214"/>
    </row>
    <row r="536" spans="2:12" x14ac:dyDescent="0.2">
      <c r="B536" s="324">
        <v>43367</v>
      </c>
      <c r="C536" s="148"/>
      <c r="D536" s="148" t="s">
        <v>133</v>
      </c>
      <c r="E536" s="215"/>
      <c r="F536" s="216"/>
      <c r="G536" s="99"/>
      <c r="H536" s="100"/>
      <c r="I536" s="129"/>
      <c r="J536" s="111">
        <v>3558158</v>
      </c>
      <c r="K536" s="387"/>
      <c r="L536" s="214"/>
    </row>
    <row r="537" spans="2:12" x14ac:dyDescent="0.2">
      <c r="B537" s="355">
        <v>43397</v>
      </c>
      <c r="C537" s="356"/>
      <c r="D537" s="357" t="s">
        <v>134</v>
      </c>
      <c r="E537" s="215"/>
      <c r="F537" s="216"/>
      <c r="G537" s="99"/>
      <c r="H537" s="100"/>
      <c r="I537" s="129"/>
      <c r="J537" s="111">
        <v>3558158</v>
      </c>
      <c r="K537" s="387"/>
      <c r="L537" s="214"/>
    </row>
    <row r="538" spans="2:12" x14ac:dyDescent="0.2">
      <c r="B538" s="422">
        <v>43417</v>
      </c>
      <c r="C538" s="423"/>
      <c r="D538" s="424" t="s">
        <v>281</v>
      </c>
      <c r="E538" s="215"/>
      <c r="F538" s="216"/>
      <c r="G538" s="99"/>
      <c r="H538" s="100">
        <v>781111</v>
      </c>
      <c r="I538" s="129"/>
      <c r="J538" s="111"/>
      <c r="K538" s="387"/>
      <c r="L538" s="214"/>
    </row>
    <row r="539" spans="2:12" x14ac:dyDescent="0.2">
      <c r="B539" s="324">
        <v>43427</v>
      </c>
      <c r="C539" s="148"/>
      <c r="D539" s="148" t="s">
        <v>135</v>
      </c>
      <c r="E539" s="215"/>
      <c r="F539" s="216"/>
      <c r="G539" s="99"/>
      <c r="H539" s="100"/>
      <c r="I539" s="129"/>
      <c r="J539" s="111">
        <v>3558158</v>
      </c>
      <c r="K539" s="387"/>
      <c r="L539" s="399"/>
    </row>
    <row r="540" spans="2:12" x14ac:dyDescent="0.2">
      <c r="B540" s="324">
        <v>43455</v>
      </c>
      <c r="C540" s="148"/>
      <c r="D540" s="148" t="s">
        <v>136</v>
      </c>
      <c r="E540" s="215"/>
      <c r="F540" s="216"/>
      <c r="G540" s="99"/>
      <c r="H540" s="100"/>
      <c r="I540" s="129"/>
      <c r="J540" s="111">
        <v>3558158</v>
      </c>
      <c r="K540" s="387"/>
      <c r="L540" s="214"/>
    </row>
    <row r="541" spans="2:12" ht="15" x14ac:dyDescent="0.25">
      <c r="B541" s="333"/>
      <c r="C541" s="260">
        <v>2020110304</v>
      </c>
      <c r="D541" s="260" t="s">
        <v>92</v>
      </c>
      <c r="E541" s="261">
        <v>21030769</v>
      </c>
      <c r="F541" s="262">
        <f>SUM(F542:F558)</f>
        <v>0</v>
      </c>
      <c r="G541" s="262">
        <f>SUM(G542:G558)</f>
        <v>0</v>
      </c>
      <c r="H541" s="262">
        <f>SUM(H542:H558)</f>
        <v>8195191</v>
      </c>
      <c r="I541" s="263">
        <f>E541+F541+G541-H541</f>
        <v>12835578</v>
      </c>
      <c r="J541" s="279">
        <f>SUM(J542:J558)</f>
        <v>12835578</v>
      </c>
      <c r="K541" s="382">
        <f>I541-J541</f>
        <v>0</v>
      </c>
      <c r="L541" s="214"/>
    </row>
    <row r="542" spans="2:12" x14ac:dyDescent="0.2">
      <c r="B542" s="324">
        <v>43129</v>
      </c>
      <c r="C542" s="148"/>
      <c r="D542" s="148" t="s">
        <v>188</v>
      </c>
      <c r="E542" s="215"/>
      <c r="F542" s="216"/>
      <c r="G542" s="99"/>
      <c r="H542" s="100"/>
      <c r="I542" s="129"/>
      <c r="J542" s="111">
        <f>2250600-620429</f>
        <v>1630171</v>
      </c>
      <c r="K542" s="374"/>
      <c r="L542" s="214"/>
    </row>
    <row r="543" spans="2:12" x14ac:dyDescent="0.2">
      <c r="B543" s="324">
        <v>43157</v>
      </c>
      <c r="C543" s="148"/>
      <c r="D543" s="148" t="s">
        <v>203</v>
      </c>
      <c r="E543" s="215"/>
      <c r="F543" s="216"/>
      <c r="G543" s="99"/>
      <c r="H543" s="100"/>
      <c r="I543" s="129"/>
      <c r="J543" s="111">
        <f>1512900-410734</f>
        <v>1102166</v>
      </c>
      <c r="K543" s="374"/>
      <c r="L543" s="214"/>
    </row>
    <row r="544" spans="2:12" x14ac:dyDescent="0.2">
      <c r="B544" s="324">
        <v>43181</v>
      </c>
      <c r="C544" s="148"/>
      <c r="D544" s="148" t="s">
        <v>210</v>
      </c>
      <c r="E544" s="215"/>
      <c r="F544" s="216"/>
      <c r="G544" s="99"/>
      <c r="H544" s="100"/>
      <c r="I544" s="129"/>
      <c r="J544" s="111">
        <f>1821300-494401</f>
        <v>1326899</v>
      </c>
      <c r="K544" s="374"/>
      <c r="L544" s="214"/>
    </row>
    <row r="545" spans="2:12" x14ac:dyDescent="0.2">
      <c r="B545" s="324">
        <v>43215</v>
      </c>
      <c r="C545" s="148"/>
      <c r="D545" s="148" t="s">
        <v>224</v>
      </c>
      <c r="E545" s="215"/>
      <c r="F545" s="216"/>
      <c r="G545" s="99"/>
      <c r="H545" s="100"/>
      <c r="I545" s="129"/>
      <c r="J545" s="111">
        <f>1615700-438624</f>
        <v>1177076</v>
      </c>
      <c r="K545" s="374"/>
      <c r="L545" s="214"/>
    </row>
    <row r="546" spans="2:12" x14ac:dyDescent="0.2">
      <c r="B546" s="324">
        <v>43245</v>
      </c>
      <c r="C546" s="148"/>
      <c r="D546" s="148" t="s">
        <v>236</v>
      </c>
      <c r="E546" s="215"/>
      <c r="F546" s="216"/>
      <c r="G546" s="99"/>
      <c r="H546" s="100"/>
      <c r="I546" s="129"/>
      <c r="J546" s="111">
        <f>1615700-438624</f>
        <v>1177076</v>
      </c>
      <c r="K546" s="374"/>
      <c r="L546" s="214"/>
    </row>
    <row r="547" spans="2:12" x14ac:dyDescent="0.2">
      <c r="B547" s="324">
        <v>43277</v>
      </c>
      <c r="C547" s="148"/>
      <c r="D547" s="148" t="s">
        <v>130</v>
      </c>
      <c r="E547" s="215"/>
      <c r="F547" s="216"/>
      <c r="G547" s="99"/>
      <c r="H547" s="100"/>
      <c r="I547" s="129"/>
      <c r="J547" s="111">
        <v>1100046</v>
      </c>
      <c r="K547" s="374"/>
      <c r="L547" s="214"/>
    </row>
    <row r="548" spans="2:12" x14ac:dyDescent="0.2">
      <c r="B548" s="324">
        <v>43305</v>
      </c>
      <c r="C548" s="148"/>
      <c r="D548" s="148" t="s">
        <v>131</v>
      </c>
      <c r="E548" s="215"/>
      <c r="F548" s="216"/>
      <c r="G548" s="99"/>
      <c r="H548" s="100"/>
      <c r="I548" s="129"/>
      <c r="J548" s="111">
        <v>888236</v>
      </c>
      <c r="K548" s="374"/>
      <c r="L548" s="214"/>
    </row>
    <row r="549" spans="2:12" x14ac:dyDescent="0.2">
      <c r="B549" s="324" t="s">
        <v>131</v>
      </c>
      <c r="C549" s="148"/>
      <c r="D549" s="148" t="s">
        <v>252</v>
      </c>
      <c r="E549" s="215"/>
      <c r="F549" s="216"/>
      <c r="G549" s="99"/>
      <c r="H549" s="100"/>
      <c r="I549" s="129"/>
      <c r="J549" s="343">
        <v>-7272</v>
      </c>
      <c r="K549" s="374"/>
      <c r="L549" s="214"/>
    </row>
    <row r="550" spans="2:12" x14ac:dyDescent="0.2">
      <c r="B550" s="324">
        <v>43336</v>
      </c>
      <c r="C550" s="148"/>
      <c r="D550" s="148" t="s">
        <v>132</v>
      </c>
      <c r="E550" s="215"/>
      <c r="F550" s="216"/>
      <c r="G550" s="99"/>
      <c r="H550" s="100"/>
      <c r="I550" s="129"/>
      <c r="J550" s="111">
        <v>888236</v>
      </c>
      <c r="K550" s="374"/>
      <c r="L550" s="214"/>
    </row>
    <row r="551" spans="2:12" x14ac:dyDescent="0.2">
      <c r="B551" s="324">
        <v>43367</v>
      </c>
      <c r="C551" s="148"/>
      <c r="D551" s="148" t="s">
        <v>133</v>
      </c>
      <c r="E551" s="215"/>
      <c r="F551" s="216"/>
      <c r="G551" s="99"/>
      <c r="H551" s="100"/>
      <c r="I551" s="129"/>
      <c r="J551" s="111">
        <v>888236</v>
      </c>
      <c r="K551" s="374"/>
      <c r="L551" s="214"/>
    </row>
    <row r="552" spans="2:12" x14ac:dyDescent="0.2">
      <c r="B552" s="355">
        <v>43397</v>
      </c>
      <c r="C552" s="356"/>
      <c r="D552" s="357" t="s">
        <v>134</v>
      </c>
      <c r="E552" s="215"/>
      <c r="F552" s="216"/>
      <c r="G552" s="99"/>
      <c r="H552" s="100"/>
      <c r="I552" s="129"/>
      <c r="J552" s="111">
        <v>888236</v>
      </c>
      <c r="K552" s="374"/>
      <c r="L552" s="214"/>
    </row>
    <row r="553" spans="2:12" x14ac:dyDescent="0.2">
      <c r="B553" s="422">
        <v>43417</v>
      </c>
      <c r="C553" s="423"/>
      <c r="D553" s="424" t="s">
        <v>281</v>
      </c>
      <c r="E553" s="214"/>
      <c r="F553" s="365"/>
      <c r="G553" s="366"/>
      <c r="H553" s="414">
        <v>8195191</v>
      </c>
      <c r="I553" s="214"/>
      <c r="J553" s="214"/>
      <c r="K553" s="374"/>
      <c r="L553" s="214"/>
    </row>
    <row r="554" spans="2:12" x14ac:dyDescent="0.2">
      <c r="B554" s="324">
        <v>43427</v>
      </c>
      <c r="C554" s="148"/>
      <c r="D554" s="148" t="s">
        <v>284</v>
      </c>
      <c r="E554" s="215"/>
      <c r="F554" s="216"/>
      <c r="G554" s="99"/>
      <c r="H554" s="100"/>
      <c r="I554" s="129"/>
      <c r="J554" s="111">
        <v>888236</v>
      </c>
      <c r="K554" s="374"/>
      <c r="L554" s="111"/>
    </row>
    <row r="555" spans="2:12" x14ac:dyDescent="0.2">
      <c r="B555" s="324">
        <v>43455</v>
      </c>
      <c r="C555" s="148"/>
      <c r="D555" s="148" t="s">
        <v>136</v>
      </c>
      <c r="E555" s="215"/>
      <c r="F555" s="216"/>
      <c r="G555" s="99"/>
      <c r="H555" s="100"/>
      <c r="I555" s="129"/>
      <c r="J555" s="111">
        <v>888236</v>
      </c>
      <c r="K555" s="374"/>
      <c r="L555" s="214"/>
    </row>
    <row r="556" spans="2:12" x14ac:dyDescent="0.2">
      <c r="B556" s="324"/>
      <c r="C556" s="148"/>
      <c r="D556" s="148"/>
      <c r="E556" s="215"/>
      <c r="F556" s="216"/>
      <c r="G556" s="99"/>
      <c r="H556" s="100"/>
      <c r="I556" s="129"/>
      <c r="J556" s="111"/>
      <c r="K556" s="374"/>
      <c r="L556" s="214"/>
    </row>
    <row r="557" spans="2:12" x14ac:dyDescent="0.2">
      <c r="B557" s="324"/>
      <c r="C557" s="148"/>
      <c r="D557" s="148"/>
      <c r="E557" s="215"/>
      <c r="F557" s="216"/>
      <c r="G557" s="99"/>
      <c r="H557" s="100"/>
      <c r="I557" s="129"/>
      <c r="J557" s="111"/>
      <c r="K557" s="374"/>
      <c r="L557" s="214"/>
    </row>
    <row r="558" spans="2:12" x14ac:dyDescent="0.2">
      <c r="B558" s="324"/>
      <c r="C558" s="148"/>
      <c r="D558" s="148"/>
      <c r="E558" s="215"/>
      <c r="F558" s="216"/>
      <c r="G558" s="99"/>
      <c r="H558" s="100"/>
      <c r="I558" s="129"/>
      <c r="J558" s="111"/>
      <c r="K558" s="374"/>
      <c r="L558" s="214"/>
    </row>
    <row r="559" spans="2:12" ht="15" x14ac:dyDescent="0.25">
      <c r="B559" s="333"/>
      <c r="C559" s="260">
        <v>2020110305</v>
      </c>
      <c r="D559" s="260" t="s">
        <v>93</v>
      </c>
      <c r="E559" s="261">
        <v>6207712</v>
      </c>
      <c r="F559" s="262">
        <f>SUM(F560:F565)</f>
        <v>0</v>
      </c>
      <c r="G559" s="262">
        <f>SUM(G560:G565)</f>
        <v>0</v>
      </c>
      <c r="H559" s="262">
        <f>SUM(H560:H565)</f>
        <v>185058</v>
      </c>
      <c r="I559" s="263">
        <f>E559+F559+G559-H559</f>
        <v>6022654</v>
      </c>
      <c r="J559" s="279">
        <f>SUM(J560:J565)</f>
        <v>6022654</v>
      </c>
      <c r="K559" s="382">
        <f>I559-J559</f>
        <v>0</v>
      </c>
      <c r="L559" s="214"/>
    </row>
    <row r="560" spans="2:12" x14ac:dyDescent="0.2">
      <c r="B560" s="324">
        <v>43286</v>
      </c>
      <c r="C560" s="148"/>
      <c r="D560" s="148" t="s">
        <v>248</v>
      </c>
      <c r="E560" s="215"/>
      <c r="F560" s="216"/>
      <c r="G560" s="99"/>
      <c r="H560" s="100"/>
      <c r="I560" s="129"/>
      <c r="J560" s="111">
        <v>144827</v>
      </c>
      <c r="K560" s="374"/>
      <c r="L560" s="214"/>
    </row>
    <row r="561" spans="2:12" x14ac:dyDescent="0.2">
      <c r="B561" s="324"/>
      <c r="C561" s="148"/>
      <c r="D561" s="148"/>
      <c r="E561" s="215"/>
      <c r="F561" s="216"/>
      <c r="G561" s="99"/>
      <c r="H561" s="100"/>
      <c r="I561" s="129"/>
      <c r="J561" s="111">
        <v>5877827</v>
      </c>
      <c r="K561" s="374"/>
      <c r="L561" s="214"/>
    </row>
    <row r="562" spans="2:12" x14ac:dyDescent="0.2">
      <c r="B562" s="406">
        <v>43440</v>
      </c>
      <c r="C562" s="407"/>
      <c r="D562" s="407" t="s">
        <v>306</v>
      </c>
      <c r="E562" s="215"/>
      <c r="F562" s="216"/>
      <c r="G562" s="99"/>
      <c r="H562" s="100">
        <v>185058</v>
      </c>
      <c r="I562" s="129"/>
      <c r="J562" s="111"/>
      <c r="K562" s="374"/>
      <c r="L562" s="214"/>
    </row>
    <row r="563" spans="2:12" x14ac:dyDescent="0.2">
      <c r="B563" s="324"/>
      <c r="C563" s="148"/>
      <c r="D563" s="148"/>
      <c r="E563" s="215"/>
      <c r="F563" s="216"/>
      <c r="G563" s="99"/>
      <c r="H563" s="100"/>
      <c r="I563" s="129"/>
      <c r="J563" s="111"/>
      <c r="K563" s="374"/>
      <c r="L563" s="214"/>
    </row>
    <row r="564" spans="2:12" x14ac:dyDescent="0.2">
      <c r="B564" s="324"/>
      <c r="C564" s="148"/>
      <c r="D564" s="148"/>
      <c r="E564" s="215"/>
      <c r="F564" s="216"/>
      <c r="G564" s="99"/>
      <c r="H564" s="100"/>
      <c r="I564" s="129"/>
      <c r="J564" s="111"/>
      <c r="K564" s="374"/>
      <c r="L564" s="214"/>
    </row>
    <row r="565" spans="2:12" x14ac:dyDescent="0.2">
      <c r="B565" s="324"/>
      <c r="C565" s="148"/>
      <c r="D565" s="148"/>
      <c r="E565" s="215"/>
      <c r="F565" s="216"/>
      <c r="G565" s="99"/>
      <c r="H565" s="100"/>
      <c r="I565" s="129"/>
      <c r="J565" s="111"/>
      <c r="K565" s="374"/>
      <c r="L565" s="214"/>
    </row>
    <row r="566" spans="2:12" s="283" customFormat="1" ht="36" x14ac:dyDescent="0.25">
      <c r="B566" s="337"/>
      <c r="C566" s="280">
        <v>20201104</v>
      </c>
      <c r="D566" s="281" t="s">
        <v>156</v>
      </c>
      <c r="E566" s="282">
        <f t="shared" ref="E566:J566" si="3">ROUND((E567+E580+E584+E600+E616+E632+E648+E663+E683+E700),0)</f>
        <v>127422616</v>
      </c>
      <c r="F566" s="282">
        <f t="shared" si="3"/>
        <v>0</v>
      </c>
      <c r="G566" s="282">
        <f>ROUND((G567+G580+G584+G600+G616+G632+G648+G663+G683+G700+G712),0)</f>
        <v>15340143</v>
      </c>
      <c r="H566" s="282">
        <f t="shared" si="3"/>
        <v>4323683</v>
      </c>
      <c r="I566" s="282">
        <f t="shared" si="3"/>
        <v>135711676</v>
      </c>
      <c r="J566" s="282">
        <f t="shared" si="3"/>
        <v>135711676</v>
      </c>
      <c r="K566" s="386">
        <f>I566-J566</f>
        <v>0</v>
      </c>
      <c r="L566" s="398"/>
    </row>
    <row r="567" spans="2:12" ht="15" x14ac:dyDescent="0.25">
      <c r="B567" s="333"/>
      <c r="C567" s="284" t="s">
        <v>95</v>
      </c>
      <c r="D567" s="260" t="s">
        <v>205</v>
      </c>
      <c r="E567" s="261">
        <v>38584317</v>
      </c>
      <c r="F567" s="262">
        <f>SUM(F568:F579)</f>
        <v>0</v>
      </c>
      <c r="G567" s="262">
        <f>SUM(G568:G579)</f>
        <v>135937</v>
      </c>
      <c r="H567" s="262">
        <f>SUM(H568:H579)</f>
        <v>4260715</v>
      </c>
      <c r="I567" s="263">
        <f>ROUND((E567+F567+G567-H567),0)</f>
        <v>34459539</v>
      </c>
      <c r="J567" s="279">
        <f>SUM(J568:J579)</f>
        <v>34459539</v>
      </c>
      <c r="K567" s="382">
        <f>I567-J567</f>
        <v>0</v>
      </c>
      <c r="L567" s="214"/>
    </row>
    <row r="568" spans="2:12" x14ac:dyDescent="0.2">
      <c r="B568" s="324" t="s">
        <v>126</v>
      </c>
      <c r="C568" s="229"/>
      <c r="D568" s="148" t="s">
        <v>206</v>
      </c>
      <c r="E568" s="215"/>
      <c r="F568" s="216"/>
      <c r="G568" s="99"/>
      <c r="H568" s="100"/>
      <c r="I568" s="129"/>
      <c r="J568" s="111">
        <v>889141</v>
      </c>
      <c r="K568" s="374"/>
      <c r="L568" s="214"/>
    </row>
    <row r="569" spans="2:12" x14ac:dyDescent="0.2">
      <c r="B569" s="324">
        <v>43286</v>
      </c>
      <c r="C569" s="229"/>
      <c r="D569" s="148" t="s">
        <v>226</v>
      </c>
      <c r="E569" s="215"/>
      <c r="F569" s="216"/>
      <c r="G569" s="99"/>
      <c r="H569" s="100"/>
      <c r="I569" s="129"/>
      <c r="J569" s="111">
        <v>1206895</v>
      </c>
      <c r="K569" s="374"/>
      <c r="L569" s="214"/>
    </row>
    <row r="570" spans="2:12" x14ac:dyDescent="0.2">
      <c r="B570" s="406">
        <v>43440</v>
      </c>
      <c r="C570" s="407"/>
      <c r="D570" s="407" t="s">
        <v>306</v>
      </c>
      <c r="E570" s="215"/>
      <c r="F570" s="216"/>
      <c r="G570" s="99"/>
      <c r="H570" s="100">
        <v>4260715</v>
      </c>
      <c r="I570" s="129"/>
      <c r="J570" s="111"/>
      <c r="K570" s="374"/>
      <c r="L570" s="214"/>
    </row>
    <row r="571" spans="2:12" x14ac:dyDescent="0.2">
      <c r="B571" s="419"/>
      <c r="C571" s="420"/>
      <c r="D571" s="420" t="s">
        <v>319</v>
      </c>
      <c r="E571" s="215"/>
      <c r="F571" s="216"/>
      <c r="G571" s="99">
        <v>135937</v>
      </c>
      <c r="H571" s="100"/>
      <c r="I571" s="129"/>
      <c r="J571" s="111"/>
      <c r="K571" s="374"/>
      <c r="L571" s="214"/>
    </row>
    <row r="572" spans="2:12" x14ac:dyDescent="0.2">
      <c r="B572" s="324"/>
      <c r="C572" s="229"/>
      <c r="D572" s="148" t="s">
        <v>296</v>
      </c>
      <c r="E572" s="215"/>
      <c r="F572" s="216"/>
      <c r="G572" s="99"/>
      <c r="H572" s="100"/>
      <c r="I572" s="129"/>
      <c r="J572" s="111">
        <v>32363503</v>
      </c>
      <c r="K572" s="374"/>
      <c r="L572" s="214"/>
    </row>
    <row r="573" spans="2:12" x14ac:dyDescent="0.2">
      <c r="B573" s="324"/>
      <c r="C573" s="229"/>
      <c r="D573" s="148"/>
      <c r="E573" s="215"/>
      <c r="F573" s="216"/>
      <c r="G573" s="99"/>
      <c r="H573" s="100"/>
      <c r="I573" s="129"/>
      <c r="J573" s="111"/>
      <c r="K573" s="374"/>
      <c r="L573" s="214"/>
    </row>
    <row r="574" spans="2:12" x14ac:dyDescent="0.2">
      <c r="B574" s="324"/>
      <c r="C574" s="229"/>
      <c r="D574" s="148"/>
      <c r="E574" s="215"/>
      <c r="F574" s="216"/>
      <c r="G574" s="99"/>
      <c r="H574" s="100"/>
      <c r="I574" s="129"/>
      <c r="J574" s="111"/>
      <c r="K574" s="374"/>
      <c r="L574" s="214"/>
    </row>
    <row r="575" spans="2:12" x14ac:dyDescent="0.2">
      <c r="B575" s="324"/>
      <c r="C575" s="229"/>
      <c r="D575" s="148"/>
      <c r="E575" s="215"/>
      <c r="F575" s="216"/>
      <c r="G575" s="99"/>
      <c r="H575" s="100"/>
      <c r="I575" s="129"/>
      <c r="J575" s="111"/>
      <c r="K575" s="374"/>
      <c r="L575" s="214"/>
    </row>
    <row r="576" spans="2:12" x14ac:dyDescent="0.2">
      <c r="B576" s="324"/>
      <c r="C576" s="229"/>
      <c r="D576" s="148"/>
      <c r="E576" s="215"/>
      <c r="F576" s="216"/>
      <c r="G576" s="99"/>
      <c r="H576" s="100"/>
      <c r="I576" s="129"/>
      <c r="J576" s="111"/>
      <c r="K576" s="374"/>
      <c r="L576" s="214"/>
    </row>
    <row r="577" spans="2:12" x14ac:dyDescent="0.2">
      <c r="B577" s="324"/>
      <c r="C577" s="229"/>
      <c r="D577" s="148"/>
      <c r="E577" s="215"/>
      <c r="F577" s="216"/>
      <c r="G577" s="99"/>
      <c r="H577" s="100"/>
      <c r="I577" s="129"/>
      <c r="J577" s="111"/>
      <c r="K577" s="374"/>
      <c r="L577" s="214"/>
    </row>
    <row r="578" spans="2:12" x14ac:dyDescent="0.2">
      <c r="B578" s="324"/>
      <c r="C578" s="229"/>
      <c r="D578" s="148"/>
      <c r="E578" s="215"/>
      <c r="F578" s="216"/>
      <c r="G578" s="99"/>
      <c r="H578" s="100"/>
      <c r="I578" s="129"/>
      <c r="J578" s="111"/>
      <c r="K578" s="374"/>
      <c r="L578" s="214"/>
    </row>
    <row r="579" spans="2:12" x14ac:dyDescent="0.2">
      <c r="B579" s="324"/>
      <c r="C579" s="229"/>
      <c r="D579" s="148"/>
      <c r="E579" s="215"/>
      <c r="F579" s="216"/>
      <c r="G579" s="99"/>
      <c r="H579" s="100"/>
      <c r="I579" s="129"/>
      <c r="J579" s="111"/>
      <c r="K579" s="374"/>
      <c r="L579" s="214"/>
    </row>
    <row r="580" spans="2:12" ht="15.75" x14ac:dyDescent="0.25">
      <c r="B580" s="322"/>
      <c r="C580" s="232" t="s">
        <v>97</v>
      </c>
      <c r="D580" s="232" t="s">
        <v>91</v>
      </c>
      <c r="E580" s="234">
        <v>0</v>
      </c>
      <c r="F580" s="235"/>
      <c r="G580" s="236"/>
      <c r="H580" s="236"/>
      <c r="I580" s="236">
        <f>ROUND((E580+F580+G580-H580),0)</f>
        <v>0</v>
      </c>
      <c r="J580" s="237"/>
      <c r="K580" s="383"/>
      <c r="L580" s="214"/>
    </row>
    <row r="581" spans="2:12" x14ac:dyDescent="0.2">
      <c r="B581" s="324"/>
      <c r="C581" s="148"/>
      <c r="D581" s="148"/>
      <c r="E581" s="215"/>
      <c r="F581" s="216"/>
      <c r="G581" s="99"/>
      <c r="H581" s="100"/>
      <c r="I581" s="129"/>
      <c r="J581" s="111"/>
      <c r="K581" s="374"/>
      <c r="L581" s="214"/>
    </row>
    <row r="582" spans="2:12" x14ac:dyDescent="0.2">
      <c r="B582" s="324"/>
      <c r="C582" s="148"/>
      <c r="D582" s="148"/>
      <c r="E582" s="215"/>
      <c r="F582" s="216"/>
      <c r="G582" s="99"/>
      <c r="H582" s="100"/>
      <c r="I582" s="129"/>
      <c r="J582" s="111"/>
      <c r="K582" s="374"/>
      <c r="L582" s="214"/>
    </row>
    <row r="583" spans="2:12" x14ac:dyDescent="0.2">
      <c r="B583" s="324"/>
      <c r="C583" s="148"/>
      <c r="D583" s="148"/>
      <c r="E583" s="215"/>
      <c r="F583" s="216"/>
      <c r="G583" s="99"/>
      <c r="H583" s="100"/>
      <c r="I583" s="129"/>
      <c r="J583" s="111"/>
      <c r="K583" s="374"/>
      <c r="L583" s="214"/>
    </row>
    <row r="584" spans="2:12" ht="15.75" x14ac:dyDescent="0.25">
      <c r="B584" s="322"/>
      <c r="C584" s="232" t="s">
        <v>98</v>
      </c>
      <c r="D584" s="232" t="s">
        <v>99</v>
      </c>
      <c r="E584" s="234">
        <v>2664792</v>
      </c>
      <c r="F584" s="235">
        <f>SUM(F585:F599)</f>
        <v>0</v>
      </c>
      <c r="G584" s="235">
        <f>SUM(G585:G599)</f>
        <v>543708</v>
      </c>
      <c r="H584" s="235">
        <f>SUM(H585:H599)</f>
        <v>0</v>
      </c>
      <c r="I584" s="236">
        <f>ROUND((E584+F584+G584-H584),0)</f>
        <v>3208500</v>
      </c>
      <c r="J584" s="237">
        <f>SUM(J585:J599)</f>
        <v>3208500</v>
      </c>
      <c r="K584" s="373">
        <f>I584-J584</f>
        <v>0</v>
      </c>
      <c r="L584" s="214"/>
    </row>
    <row r="585" spans="2:12" x14ac:dyDescent="0.2">
      <c r="B585" s="324">
        <v>43129</v>
      </c>
      <c r="C585" s="148"/>
      <c r="D585" s="148" t="s">
        <v>183</v>
      </c>
      <c r="E585" s="215"/>
      <c r="F585" s="216"/>
      <c r="G585" s="99"/>
      <c r="H585" s="100"/>
      <c r="I585" s="129"/>
      <c r="J585" s="111">
        <v>267200</v>
      </c>
      <c r="K585" s="374"/>
      <c r="L585" s="214"/>
    </row>
    <row r="586" spans="2:12" x14ac:dyDescent="0.2">
      <c r="B586" s="324">
        <v>43157</v>
      </c>
      <c r="C586" s="148"/>
      <c r="D586" s="148" t="s">
        <v>199</v>
      </c>
      <c r="E586" s="215"/>
      <c r="F586" s="216"/>
      <c r="G586" s="99"/>
      <c r="H586" s="100"/>
      <c r="I586" s="129"/>
      <c r="J586" s="111">
        <v>267200</v>
      </c>
      <c r="K586" s="374"/>
      <c r="L586" s="214"/>
    </row>
    <row r="587" spans="2:12" x14ac:dyDescent="0.2">
      <c r="B587" s="324">
        <v>43181</v>
      </c>
      <c r="C587" s="148"/>
      <c r="D587" s="148" t="s">
        <v>127</v>
      </c>
      <c r="E587" s="215"/>
      <c r="F587" s="216"/>
      <c r="G587" s="99"/>
      <c r="H587" s="100"/>
      <c r="I587" s="129"/>
      <c r="J587" s="111">
        <v>318800</v>
      </c>
      <c r="K587" s="374"/>
      <c r="L587" s="214"/>
    </row>
    <row r="588" spans="2:12" x14ac:dyDescent="0.2">
      <c r="B588" s="324">
        <v>43215</v>
      </c>
      <c r="C588" s="148"/>
      <c r="D588" s="148" t="s">
        <v>128</v>
      </c>
      <c r="E588" s="215"/>
      <c r="F588" s="216"/>
      <c r="G588" s="99"/>
      <c r="H588" s="100"/>
      <c r="I588" s="129"/>
      <c r="J588" s="111">
        <v>284300</v>
      </c>
      <c r="K588" s="374"/>
      <c r="L588" s="214"/>
    </row>
    <row r="589" spans="2:12" x14ac:dyDescent="0.2">
      <c r="B589" s="324">
        <v>43244</v>
      </c>
      <c r="C589" s="148"/>
      <c r="D589" s="148" t="s">
        <v>129</v>
      </c>
      <c r="E589" s="215"/>
      <c r="F589" s="216"/>
      <c r="G589" s="99"/>
      <c r="H589" s="100"/>
      <c r="I589" s="129"/>
      <c r="J589" s="111">
        <v>284300</v>
      </c>
      <c r="K589" s="374"/>
      <c r="L589" s="214"/>
    </row>
    <row r="590" spans="2:12" x14ac:dyDescent="0.2">
      <c r="B590" s="324">
        <v>43277</v>
      </c>
      <c r="C590" s="148"/>
      <c r="D590" s="148" t="s">
        <v>130</v>
      </c>
      <c r="E590" s="215"/>
      <c r="F590" s="216"/>
      <c r="G590" s="99"/>
      <c r="H590" s="100"/>
      <c r="I590" s="129"/>
      <c r="J590" s="111">
        <v>281000</v>
      </c>
      <c r="K590" s="374"/>
      <c r="L590" s="214"/>
    </row>
    <row r="591" spans="2:12" x14ac:dyDescent="0.2">
      <c r="B591" s="324">
        <v>43305</v>
      </c>
      <c r="C591" s="148"/>
      <c r="D591" s="148" t="s">
        <v>131</v>
      </c>
      <c r="E591" s="215"/>
      <c r="F591" s="216"/>
      <c r="G591" s="99"/>
      <c r="H591" s="100"/>
      <c r="I591" s="129"/>
      <c r="J591" s="111">
        <v>280800</v>
      </c>
      <c r="K591" s="374"/>
      <c r="L591" s="214"/>
    </row>
    <row r="592" spans="2:12" x14ac:dyDescent="0.2">
      <c r="B592" s="324">
        <v>43336</v>
      </c>
      <c r="C592" s="148"/>
      <c r="D592" s="148" t="s">
        <v>132</v>
      </c>
      <c r="E592" s="215"/>
      <c r="F592" s="216"/>
      <c r="G592" s="99"/>
      <c r="H592" s="100"/>
      <c r="I592" s="129"/>
      <c r="J592" s="111">
        <v>284100</v>
      </c>
      <c r="K592" s="374"/>
      <c r="L592" s="214"/>
    </row>
    <row r="593" spans="2:12" x14ac:dyDescent="0.2">
      <c r="B593" s="324">
        <v>43367</v>
      </c>
      <c r="C593" s="148"/>
      <c r="D593" s="148" t="s">
        <v>133</v>
      </c>
      <c r="E593" s="215"/>
      <c r="F593" s="216"/>
      <c r="G593" s="99"/>
      <c r="H593" s="100"/>
      <c r="I593" s="129"/>
      <c r="J593" s="111">
        <v>284100</v>
      </c>
      <c r="K593" s="374"/>
      <c r="L593" s="214"/>
    </row>
    <row r="594" spans="2:12" ht="15" x14ac:dyDescent="0.2">
      <c r="B594" s="324">
        <v>43381</v>
      </c>
      <c r="C594" s="148"/>
      <c r="D594" s="364" t="s">
        <v>275</v>
      </c>
      <c r="E594" s="215"/>
      <c r="F594" s="216"/>
      <c r="G594" s="99">
        <v>543700</v>
      </c>
      <c r="H594" s="100"/>
      <c r="I594" s="129"/>
      <c r="J594" s="111"/>
      <c r="K594" s="374"/>
      <c r="L594" s="214"/>
    </row>
    <row r="595" spans="2:12" x14ac:dyDescent="0.2">
      <c r="B595" s="355">
        <v>43397</v>
      </c>
      <c r="C595" s="356"/>
      <c r="D595" s="357" t="s">
        <v>134</v>
      </c>
      <c r="E595" s="215"/>
      <c r="F595" s="216"/>
      <c r="G595" s="99"/>
      <c r="H595" s="100"/>
      <c r="I595" s="129"/>
      <c r="J595" s="111">
        <v>218900</v>
      </c>
      <c r="K595" s="374"/>
      <c r="L595" s="214"/>
    </row>
    <row r="596" spans="2:12" x14ac:dyDescent="0.2">
      <c r="B596" s="355">
        <v>43427</v>
      </c>
      <c r="C596" s="356"/>
      <c r="D596" s="357" t="s">
        <v>135</v>
      </c>
      <c r="E596" s="215"/>
      <c r="F596" s="216"/>
      <c r="G596" s="99"/>
      <c r="H596" s="100"/>
      <c r="I596" s="129"/>
      <c r="J596" s="111">
        <v>218900</v>
      </c>
      <c r="K596" s="374"/>
      <c r="L596" s="214"/>
    </row>
    <row r="597" spans="2:12" x14ac:dyDescent="0.2">
      <c r="B597" s="406">
        <v>43440</v>
      </c>
      <c r="C597" s="407"/>
      <c r="D597" s="407" t="s">
        <v>311</v>
      </c>
      <c r="E597" s="215"/>
      <c r="F597" s="216"/>
      <c r="G597" s="99">
        <v>8</v>
      </c>
      <c r="H597" s="100"/>
      <c r="I597" s="129"/>
      <c r="J597" s="111"/>
      <c r="K597" s="374"/>
      <c r="L597" s="214"/>
    </row>
    <row r="598" spans="2:12" x14ac:dyDescent="0.2">
      <c r="B598" s="355">
        <v>43455</v>
      </c>
      <c r="C598" s="356"/>
      <c r="D598" s="357" t="s">
        <v>136</v>
      </c>
      <c r="E598" s="215"/>
      <c r="F598" s="216"/>
      <c r="G598" s="99"/>
      <c r="H598" s="100"/>
      <c r="I598" s="129"/>
      <c r="J598" s="111">
        <v>218900</v>
      </c>
      <c r="K598" s="374"/>
      <c r="L598" s="214"/>
    </row>
    <row r="599" spans="2:12" x14ac:dyDescent="0.2">
      <c r="B599" s="324"/>
      <c r="C599" s="148"/>
      <c r="D599" s="148"/>
      <c r="E599" s="215"/>
      <c r="F599" s="216"/>
      <c r="G599" s="99"/>
      <c r="H599" s="100"/>
      <c r="I599" s="129"/>
      <c r="J599" s="111"/>
      <c r="K599" s="374"/>
      <c r="L599" s="214"/>
    </row>
    <row r="600" spans="2:12" ht="15.75" x14ac:dyDescent="0.25">
      <c r="B600" s="322"/>
      <c r="C600" s="232">
        <v>2020110404</v>
      </c>
      <c r="D600" s="232" t="s">
        <v>92</v>
      </c>
      <c r="E600" s="234">
        <v>40228819</v>
      </c>
      <c r="F600" s="235">
        <f>SUM(F601:F611)</f>
        <v>0</v>
      </c>
      <c r="G600" s="235">
        <f>SUM(G601:G615)</f>
        <v>7162418</v>
      </c>
      <c r="H600" s="235">
        <f>SUM(H601:H611)</f>
        <v>0</v>
      </c>
      <c r="I600" s="236">
        <f>ROUND((E600+F600+G600-H600),0)</f>
        <v>47391237</v>
      </c>
      <c r="J600" s="237">
        <f>SUM(J601:J615)</f>
        <v>47391237</v>
      </c>
      <c r="K600" s="373">
        <f>I600-J600</f>
        <v>0</v>
      </c>
      <c r="L600" s="214"/>
    </row>
    <row r="601" spans="2:12" x14ac:dyDescent="0.2">
      <c r="B601" s="324">
        <v>43129</v>
      </c>
      <c r="C601" s="148"/>
      <c r="D601" s="148" t="s">
        <v>189</v>
      </c>
      <c r="E601" s="215"/>
      <c r="F601" s="216"/>
      <c r="G601" s="99"/>
      <c r="H601" s="100"/>
      <c r="I601" s="129"/>
      <c r="J601" s="111">
        <f>4286200-1203196</f>
        <v>3083004</v>
      </c>
      <c r="K601" s="374"/>
      <c r="L601" s="214"/>
    </row>
    <row r="602" spans="2:12" x14ac:dyDescent="0.2">
      <c r="B602" s="324">
        <v>43157</v>
      </c>
      <c r="C602" s="148"/>
      <c r="D602" s="148" t="s">
        <v>204</v>
      </c>
      <c r="E602" s="215"/>
      <c r="F602" s="216"/>
      <c r="G602" s="99"/>
      <c r="H602" s="100"/>
      <c r="I602" s="129"/>
      <c r="J602" s="111">
        <f>5023900-1398466</f>
        <v>3625434</v>
      </c>
      <c r="K602" s="374"/>
      <c r="L602" s="214"/>
    </row>
    <row r="603" spans="2:12" x14ac:dyDescent="0.2">
      <c r="B603" s="324">
        <v>43181</v>
      </c>
      <c r="C603" s="148"/>
      <c r="D603" s="148" t="s">
        <v>211</v>
      </c>
      <c r="E603" s="215"/>
      <c r="F603" s="216"/>
      <c r="G603" s="99"/>
      <c r="H603" s="100"/>
      <c r="I603" s="129"/>
      <c r="J603" s="111">
        <f>6065700-1657903</f>
        <v>4407797</v>
      </c>
      <c r="K603" s="374"/>
      <c r="L603" s="214"/>
    </row>
    <row r="604" spans="2:12" x14ac:dyDescent="0.2">
      <c r="B604" s="324">
        <v>43214</v>
      </c>
      <c r="C604" s="148"/>
      <c r="D604" s="148" t="s">
        <v>225</v>
      </c>
      <c r="E604" s="215"/>
      <c r="F604" s="216"/>
      <c r="G604" s="99"/>
      <c r="H604" s="100"/>
      <c r="I604" s="129"/>
      <c r="J604" s="111">
        <f>5367900-1484944</f>
        <v>3882956</v>
      </c>
      <c r="K604" s="374"/>
      <c r="L604" s="214"/>
    </row>
    <row r="605" spans="2:12" x14ac:dyDescent="0.2">
      <c r="B605" s="324"/>
      <c r="C605" s="148"/>
      <c r="D605" s="148" t="s">
        <v>237</v>
      </c>
      <c r="E605" s="215"/>
      <c r="F605" s="216"/>
      <c r="G605" s="99"/>
      <c r="H605" s="100"/>
      <c r="I605" s="129"/>
      <c r="J605" s="111">
        <f>5367900-1484944</f>
        <v>3882956</v>
      </c>
      <c r="K605" s="374"/>
      <c r="L605" s="214"/>
    </row>
    <row r="606" spans="2:12" x14ac:dyDescent="0.2">
      <c r="B606" s="324">
        <v>43277</v>
      </c>
      <c r="C606" s="148"/>
      <c r="D606" s="148" t="s">
        <v>130</v>
      </c>
      <c r="E606" s="215"/>
      <c r="F606" s="216"/>
      <c r="G606" s="99"/>
      <c r="H606" s="100"/>
      <c r="I606" s="129"/>
      <c r="J606" s="111">
        <v>3973704</v>
      </c>
      <c r="K606" s="374"/>
      <c r="L606" s="214"/>
    </row>
    <row r="607" spans="2:12" x14ac:dyDescent="0.2">
      <c r="B607" s="324">
        <v>43305</v>
      </c>
      <c r="C607" s="148"/>
      <c r="D607" s="148" t="s">
        <v>131</v>
      </c>
      <c r="E607" s="215"/>
      <c r="F607" s="216"/>
      <c r="G607" s="99"/>
      <c r="H607" s="100"/>
      <c r="I607" s="129"/>
      <c r="J607" s="111">
        <v>4059473</v>
      </c>
      <c r="K607" s="374"/>
      <c r="L607" s="214"/>
    </row>
    <row r="608" spans="2:12" x14ac:dyDescent="0.2">
      <c r="B608" s="324" t="s">
        <v>257</v>
      </c>
      <c r="C608" s="148"/>
      <c r="D608" s="148" t="s">
        <v>256</v>
      </c>
      <c r="E608" s="215"/>
      <c r="F608" s="216"/>
      <c r="G608" s="99"/>
      <c r="H608" s="100"/>
      <c r="I608" s="129"/>
      <c r="J608" s="111">
        <v>-199527</v>
      </c>
      <c r="K608" s="374"/>
      <c r="L608" s="214"/>
    </row>
    <row r="609" spans="2:12" x14ac:dyDescent="0.2">
      <c r="B609" s="324">
        <v>43336</v>
      </c>
      <c r="C609" s="148"/>
      <c r="D609" s="148" t="s">
        <v>132</v>
      </c>
      <c r="E609" s="215"/>
      <c r="F609" s="216"/>
      <c r="G609" s="99"/>
      <c r="H609" s="100"/>
      <c r="I609" s="129"/>
      <c r="J609" s="111">
        <v>4135148</v>
      </c>
      <c r="K609" s="374"/>
      <c r="L609" s="214"/>
    </row>
    <row r="610" spans="2:12" x14ac:dyDescent="0.2">
      <c r="B610" s="324">
        <v>43367</v>
      </c>
      <c r="C610" s="148"/>
      <c r="D610" s="148" t="s">
        <v>133</v>
      </c>
      <c r="E610" s="215"/>
      <c r="F610" s="216"/>
      <c r="G610" s="99"/>
      <c r="H610" s="100"/>
      <c r="I610" s="129"/>
      <c r="J610" s="111">
        <v>4135148</v>
      </c>
      <c r="K610" s="374"/>
      <c r="L610" s="214"/>
    </row>
    <row r="611" spans="2:12" x14ac:dyDescent="0.2">
      <c r="B611" s="355">
        <v>43397</v>
      </c>
      <c r="C611" s="356"/>
      <c r="D611" s="357" t="s">
        <v>134</v>
      </c>
      <c r="E611" s="215"/>
      <c r="F611" s="216"/>
      <c r="G611" s="99"/>
      <c r="H611" s="100"/>
      <c r="I611" s="129"/>
      <c r="J611" s="111">
        <v>4135048</v>
      </c>
      <c r="K611" s="374"/>
      <c r="L611" s="214"/>
    </row>
    <row r="612" spans="2:12" x14ac:dyDescent="0.2">
      <c r="B612" s="355">
        <v>43417</v>
      </c>
      <c r="C612" s="356"/>
      <c r="D612" s="357" t="s">
        <v>285</v>
      </c>
      <c r="E612" s="215"/>
      <c r="F612" s="216"/>
      <c r="G612" s="99">
        <f>8195191-1032773</f>
        <v>7162418</v>
      </c>
      <c r="H612" s="100"/>
      <c r="I612" s="129"/>
      <c r="J612" s="111"/>
      <c r="K612" s="374"/>
      <c r="L612" s="111">
        <f>K600-J612</f>
        <v>0</v>
      </c>
    </row>
    <row r="613" spans="2:12" x14ac:dyDescent="0.2">
      <c r="B613" s="355">
        <v>43427</v>
      </c>
      <c r="C613" s="356"/>
      <c r="D613" s="357" t="s">
        <v>286</v>
      </c>
      <c r="E613" s="215"/>
      <c r="F613" s="216"/>
      <c r="G613" s="99"/>
      <c r="H613" s="100"/>
      <c r="I613" s="129"/>
      <c r="J613" s="111">
        <v>4135048</v>
      </c>
      <c r="K613" s="374"/>
      <c r="L613" s="214"/>
    </row>
    <row r="614" spans="2:12" x14ac:dyDescent="0.2">
      <c r="B614" s="355">
        <v>43455</v>
      </c>
      <c r="C614" s="356"/>
      <c r="D614" s="357" t="s">
        <v>136</v>
      </c>
      <c r="E614" s="215"/>
      <c r="F614" s="216"/>
      <c r="G614" s="99"/>
      <c r="H614" s="100"/>
      <c r="I614" s="129"/>
      <c r="J614" s="111">
        <v>4135048</v>
      </c>
      <c r="K614" s="374"/>
      <c r="L614" s="214"/>
    </row>
    <row r="615" spans="2:12" x14ac:dyDescent="0.2">
      <c r="B615" s="355"/>
      <c r="C615" s="356"/>
      <c r="D615" s="357"/>
      <c r="E615" s="215"/>
      <c r="F615" s="216"/>
      <c r="G615" s="99"/>
      <c r="H615" s="100"/>
      <c r="I615" s="129"/>
      <c r="J615" s="111"/>
      <c r="K615" s="374"/>
      <c r="L615" s="214"/>
    </row>
    <row r="616" spans="2:12" ht="15.75" x14ac:dyDescent="0.25">
      <c r="B616" s="322"/>
      <c r="C616" s="232">
        <v>2020110405</v>
      </c>
      <c r="D616" s="232" t="s">
        <v>102</v>
      </c>
      <c r="E616" s="234">
        <v>20419860</v>
      </c>
      <c r="F616" s="235">
        <f>SUM(F617:F631)</f>
        <v>0</v>
      </c>
      <c r="G616" s="235">
        <f>SUM(G617:G631)</f>
        <v>2060440</v>
      </c>
      <c r="H616" s="235">
        <f>SUM(H617:H631)</f>
        <v>0</v>
      </c>
      <c r="I616" s="236">
        <f>ROUND((E616+F616+G616-H616),0)</f>
        <v>22480300</v>
      </c>
      <c r="J616" s="237">
        <f>SUM(J617:J631)</f>
        <v>22480300</v>
      </c>
      <c r="K616" s="373">
        <f>I616-J616</f>
        <v>0</v>
      </c>
      <c r="L616" s="214"/>
    </row>
    <row r="617" spans="2:12" x14ac:dyDescent="0.2">
      <c r="B617" s="324">
        <v>43129</v>
      </c>
      <c r="C617" s="148"/>
      <c r="D617" s="148" t="s">
        <v>183</v>
      </c>
      <c r="E617" s="215"/>
      <c r="F617" s="216"/>
      <c r="G617" s="99"/>
      <c r="H617" s="100"/>
      <c r="I617" s="129"/>
      <c r="J617" s="111">
        <v>1797800</v>
      </c>
      <c r="K617" s="374"/>
      <c r="L617" s="214"/>
    </row>
    <row r="618" spans="2:12" x14ac:dyDescent="0.2">
      <c r="B618" s="324">
        <v>43157</v>
      </c>
      <c r="C618" s="148"/>
      <c r="D618" s="148" t="s">
        <v>199</v>
      </c>
      <c r="E618" s="215"/>
      <c r="F618" s="216"/>
      <c r="G618" s="99"/>
      <c r="H618" s="100"/>
      <c r="I618" s="129"/>
      <c r="J618" s="111">
        <v>1684300</v>
      </c>
      <c r="K618" s="374"/>
      <c r="L618" s="214"/>
    </row>
    <row r="619" spans="2:12" x14ac:dyDescent="0.2">
      <c r="B619" s="324">
        <v>43181</v>
      </c>
      <c r="C619" s="148"/>
      <c r="D619" s="148" t="s">
        <v>127</v>
      </c>
      <c r="E619" s="215"/>
      <c r="F619" s="216"/>
      <c r="G619" s="99"/>
      <c r="H619" s="100"/>
      <c r="I619" s="129"/>
      <c r="J619" s="111">
        <v>1876800</v>
      </c>
      <c r="K619" s="374"/>
      <c r="L619" s="214"/>
    </row>
    <row r="620" spans="2:12" x14ac:dyDescent="0.2">
      <c r="B620" s="324">
        <v>43214</v>
      </c>
      <c r="C620" s="148"/>
      <c r="D620" s="148" t="s">
        <v>128</v>
      </c>
      <c r="E620" s="215"/>
      <c r="F620" s="216"/>
      <c r="G620" s="99"/>
      <c r="H620" s="100"/>
      <c r="I620" s="129"/>
      <c r="J620" s="111">
        <v>1318600</v>
      </c>
      <c r="K620" s="374"/>
      <c r="L620" s="214"/>
    </row>
    <row r="621" spans="2:12" x14ac:dyDescent="0.2">
      <c r="B621" s="324">
        <v>43244</v>
      </c>
      <c r="C621" s="148"/>
      <c r="D621" s="148" t="s">
        <v>129</v>
      </c>
      <c r="E621" s="215"/>
      <c r="F621" s="216"/>
      <c r="G621" s="99"/>
      <c r="H621" s="100"/>
      <c r="I621" s="129"/>
      <c r="J621" s="111">
        <v>1676400</v>
      </c>
      <c r="K621" s="374"/>
      <c r="L621" s="214"/>
    </row>
    <row r="622" spans="2:12" x14ac:dyDescent="0.2">
      <c r="B622" s="324">
        <v>43277</v>
      </c>
      <c r="C622" s="148"/>
      <c r="D622" s="148" t="s">
        <v>130</v>
      </c>
      <c r="E622" s="215"/>
      <c r="F622" s="216"/>
      <c r="G622" s="99"/>
      <c r="H622" s="100"/>
      <c r="I622" s="129"/>
      <c r="J622" s="111">
        <v>2231300</v>
      </c>
      <c r="K622" s="374"/>
      <c r="L622" s="214"/>
    </row>
    <row r="623" spans="2:12" x14ac:dyDescent="0.2">
      <c r="B623" s="324">
        <v>43305</v>
      </c>
      <c r="C623" s="148"/>
      <c r="D623" s="148" t="s">
        <v>131</v>
      </c>
      <c r="E623" s="215"/>
      <c r="F623" s="216"/>
      <c r="G623" s="99"/>
      <c r="H623" s="100"/>
      <c r="I623" s="129"/>
      <c r="J623" s="111">
        <v>2369200</v>
      </c>
      <c r="K623" s="374"/>
      <c r="L623" s="214"/>
    </row>
    <row r="624" spans="2:12" x14ac:dyDescent="0.2">
      <c r="B624" s="324">
        <v>43336</v>
      </c>
      <c r="C624" s="148"/>
      <c r="D624" s="148" t="s">
        <v>132</v>
      </c>
      <c r="E624" s="215"/>
      <c r="F624" s="216"/>
      <c r="G624" s="99"/>
      <c r="H624" s="100"/>
      <c r="I624" s="129"/>
      <c r="J624" s="111">
        <v>1804500</v>
      </c>
      <c r="K624" s="374"/>
      <c r="L624" s="214"/>
    </row>
    <row r="625" spans="2:12" x14ac:dyDescent="0.2">
      <c r="B625" s="324">
        <v>43367</v>
      </c>
      <c r="C625" s="148"/>
      <c r="D625" s="148" t="s">
        <v>133</v>
      </c>
      <c r="E625" s="215"/>
      <c r="F625" s="216"/>
      <c r="G625" s="99"/>
      <c r="H625" s="100"/>
      <c r="I625" s="129"/>
      <c r="J625" s="111">
        <v>1674700</v>
      </c>
      <c r="K625" s="374"/>
      <c r="L625" s="214"/>
    </row>
    <row r="626" spans="2:12" x14ac:dyDescent="0.2">
      <c r="B626" s="355">
        <v>43397</v>
      </c>
      <c r="C626" s="356"/>
      <c r="D626" s="357" t="s">
        <v>134</v>
      </c>
      <c r="E626" s="215"/>
      <c r="F626" s="216"/>
      <c r="G626" s="99"/>
      <c r="H626" s="100"/>
      <c r="I626" s="129"/>
      <c r="J626" s="111">
        <v>2144500</v>
      </c>
      <c r="K626" s="374"/>
      <c r="L626" s="214"/>
    </row>
    <row r="627" spans="2:12" x14ac:dyDescent="0.2">
      <c r="B627" s="355">
        <v>43417</v>
      </c>
      <c r="C627" s="356"/>
      <c r="D627" s="357" t="s">
        <v>285</v>
      </c>
      <c r="E627" s="215"/>
      <c r="F627" s="216"/>
      <c r="G627" s="99">
        <v>1032773</v>
      </c>
      <c r="H627" s="100"/>
      <c r="I627" s="129"/>
      <c r="J627" s="111"/>
      <c r="K627" s="374"/>
      <c r="L627" s="214"/>
    </row>
    <row r="628" spans="2:12" x14ac:dyDescent="0.2">
      <c r="B628" s="324">
        <v>43427</v>
      </c>
      <c r="C628" s="148"/>
      <c r="D628" s="148" t="s">
        <v>135</v>
      </c>
      <c r="E628" s="215"/>
      <c r="F628" s="216"/>
      <c r="G628" s="99"/>
      <c r="H628" s="100"/>
      <c r="I628" s="129"/>
      <c r="J628" s="111">
        <v>1774100</v>
      </c>
      <c r="K628" s="374"/>
      <c r="L628" s="214"/>
    </row>
    <row r="629" spans="2:12" x14ac:dyDescent="0.2">
      <c r="B629" s="406">
        <v>43440</v>
      </c>
      <c r="C629" s="407"/>
      <c r="D629" s="407" t="s">
        <v>311</v>
      </c>
      <c r="E629" s="215"/>
      <c r="F629" s="216"/>
      <c r="G629" s="99">
        <v>1027667</v>
      </c>
      <c r="H629" s="100"/>
      <c r="I629" s="129"/>
      <c r="J629" s="111"/>
      <c r="K629" s="374"/>
      <c r="L629" s="214"/>
    </row>
    <row r="630" spans="2:12" x14ac:dyDescent="0.2">
      <c r="B630" s="324">
        <v>43455</v>
      </c>
      <c r="C630" s="148"/>
      <c r="D630" s="148" t="s">
        <v>136</v>
      </c>
      <c r="E630" s="215"/>
      <c r="F630" s="216"/>
      <c r="G630" s="99"/>
      <c r="H630" s="100"/>
      <c r="I630" s="129"/>
      <c r="J630" s="111">
        <v>2128100</v>
      </c>
      <c r="K630" s="374"/>
      <c r="L630" s="214"/>
    </row>
    <row r="631" spans="2:12" x14ac:dyDescent="0.2">
      <c r="B631" s="324"/>
      <c r="C631" s="148"/>
      <c r="D631" s="148"/>
      <c r="E631" s="215"/>
      <c r="F631" s="216"/>
      <c r="G631" s="99"/>
      <c r="H631" s="100"/>
      <c r="I631" s="129"/>
      <c r="J631" s="111"/>
      <c r="K631" s="374"/>
      <c r="L631" s="214"/>
    </row>
    <row r="632" spans="2:12" ht="15.75" x14ac:dyDescent="0.25">
      <c r="B632" s="322"/>
      <c r="C632" s="232">
        <v>2020110406</v>
      </c>
      <c r="D632" s="232" t="s">
        <v>104</v>
      </c>
      <c r="E632" s="234">
        <v>15314892</v>
      </c>
      <c r="F632" s="235">
        <f>SUM(F633:F647)</f>
        <v>0</v>
      </c>
      <c r="G632" s="235">
        <f>SUM(G633:G647)</f>
        <v>1579008</v>
      </c>
      <c r="H632" s="235">
        <f>SUM(H633:H647)</f>
        <v>0</v>
      </c>
      <c r="I632" s="236">
        <f>ROUND((E632+F632+G632-H632),0)</f>
        <v>16893900</v>
      </c>
      <c r="J632" s="237">
        <f>SUM(J633:J647)</f>
        <v>16893900</v>
      </c>
      <c r="K632" s="373">
        <f>I632-J632</f>
        <v>0</v>
      </c>
      <c r="L632" s="214"/>
    </row>
    <row r="633" spans="2:12" x14ac:dyDescent="0.2">
      <c r="B633" s="324">
        <v>43129</v>
      </c>
      <c r="C633" s="148"/>
      <c r="D633" s="148" t="s">
        <v>183</v>
      </c>
      <c r="E633" s="215"/>
      <c r="F633" s="216"/>
      <c r="G633" s="99"/>
      <c r="H633" s="100"/>
      <c r="I633" s="129"/>
      <c r="J633" s="111">
        <v>1348600</v>
      </c>
      <c r="K633" s="374"/>
      <c r="L633" s="214"/>
    </row>
    <row r="634" spans="2:12" x14ac:dyDescent="0.2">
      <c r="B634" s="324">
        <v>43157</v>
      </c>
      <c r="C634" s="148"/>
      <c r="D634" s="148" t="s">
        <v>199</v>
      </c>
      <c r="E634" s="215"/>
      <c r="F634" s="216"/>
      <c r="G634" s="99"/>
      <c r="H634" s="100"/>
      <c r="I634" s="129"/>
      <c r="J634" s="111">
        <v>1263400</v>
      </c>
      <c r="K634" s="374"/>
      <c r="L634" s="214"/>
    </row>
    <row r="635" spans="2:12" x14ac:dyDescent="0.2">
      <c r="B635" s="324">
        <v>43181</v>
      </c>
      <c r="C635" s="148"/>
      <c r="D635" s="148" t="s">
        <v>127</v>
      </c>
      <c r="E635" s="215"/>
      <c r="F635" s="216"/>
      <c r="G635" s="99"/>
      <c r="H635" s="100"/>
      <c r="I635" s="129"/>
      <c r="J635" s="111">
        <v>1407600</v>
      </c>
      <c r="K635" s="374"/>
      <c r="L635" s="214"/>
    </row>
    <row r="636" spans="2:12" x14ac:dyDescent="0.2">
      <c r="B636" s="324">
        <v>43215</v>
      </c>
      <c r="C636" s="148"/>
      <c r="D636" s="148" t="s">
        <v>128</v>
      </c>
      <c r="E636" s="215"/>
      <c r="F636" s="216"/>
      <c r="G636" s="99"/>
      <c r="H636" s="100"/>
      <c r="I636" s="129"/>
      <c r="J636" s="111">
        <v>989100</v>
      </c>
      <c r="K636" s="374"/>
      <c r="L636" s="214"/>
    </row>
    <row r="637" spans="2:12" x14ac:dyDescent="0.2">
      <c r="B637" s="324">
        <v>43244</v>
      </c>
      <c r="C637" s="148"/>
      <c r="D637" s="148" t="s">
        <v>129</v>
      </c>
      <c r="E637" s="215"/>
      <c r="F637" s="216"/>
      <c r="G637" s="99"/>
      <c r="H637" s="100"/>
      <c r="I637" s="129"/>
      <c r="J637" s="111">
        <v>1289500</v>
      </c>
      <c r="K637" s="374"/>
      <c r="L637" s="214"/>
    </row>
    <row r="638" spans="2:12" x14ac:dyDescent="0.2">
      <c r="B638" s="324">
        <v>43277</v>
      </c>
      <c r="C638" s="148"/>
      <c r="D638" s="148" t="s">
        <v>130</v>
      </c>
      <c r="E638" s="215"/>
      <c r="F638" s="216"/>
      <c r="G638" s="99"/>
      <c r="H638" s="100"/>
      <c r="I638" s="129"/>
      <c r="J638" s="111">
        <v>1673500</v>
      </c>
      <c r="K638" s="374"/>
      <c r="L638" s="214"/>
    </row>
    <row r="639" spans="2:12" x14ac:dyDescent="0.2">
      <c r="B639" s="324">
        <v>43305</v>
      </c>
      <c r="C639" s="148"/>
      <c r="D639" s="148" t="s">
        <v>131</v>
      </c>
      <c r="E639" s="215"/>
      <c r="F639" s="216"/>
      <c r="G639" s="99"/>
      <c r="H639" s="100"/>
      <c r="I639" s="129"/>
      <c r="J639" s="111">
        <v>1777200</v>
      </c>
      <c r="K639" s="374"/>
      <c r="L639" s="214"/>
    </row>
    <row r="640" spans="2:12" x14ac:dyDescent="0.2">
      <c r="B640" s="324">
        <v>43336</v>
      </c>
      <c r="C640" s="148"/>
      <c r="D640" s="148" t="s">
        <v>132</v>
      </c>
      <c r="E640" s="215"/>
      <c r="F640" s="216"/>
      <c r="G640" s="99"/>
      <c r="H640" s="100"/>
      <c r="I640" s="129"/>
      <c r="J640" s="111">
        <v>1353400</v>
      </c>
      <c r="K640" s="374"/>
      <c r="L640" s="214"/>
    </row>
    <row r="641" spans="2:12" x14ac:dyDescent="0.2">
      <c r="B641" s="324">
        <v>43367</v>
      </c>
      <c r="C641" s="148"/>
      <c r="D641" s="148" t="s">
        <v>133</v>
      </c>
      <c r="E641" s="215"/>
      <c r="F641" s="216"/>
      <c r="G641" s="99"/>
      <c r="H641" s="100"/>
      <c r="I641" s="129"/>
      <c r="J641" s="111">
        <v>1256200</v>
      </c>
      <c r="K641" s="374"/>
      <c r="L641" s="214"/>
    </row>
    <row r="642" spans="2:12" x14ac:dyDescent="0.2">
      <c r="B642" s="355">
        <v>43397</v>
      </c>
      <c r="C642" s="356"/>
      <c r="D642" s="357" t="s">
        <v>134</v>
      </c>
      <c r="E642" s="215"/>
      <c r="F642" s="216"/>
      <c r="G642" s="99"/>
      <c r="H642" s="100"/>
      <c r="I642" s="129"/>
      <c r="J642" s="111">
        <v>1608400</v>
      </c>
      <c r="K642" s="374"/>
      <c r="L642" s="214"/>
    </row>
    <row r="643" spans="2:12" x14ac:dyDescent="0.2">
      <c r="B643" s="355">
        <v>43417</v>
      </c>
      <c r="C643" s="356"/>
      <c r="D643" s="357" t="s">
        <v>285</v>
      </c>
      <c r="E643" s="215"/>
      <c r="F643" s="216"/>
      <c r="G643" s="99">
        <v>781111</v>
      </c>
      <c r="H643" s="100"/>
      <c r="I643" s="129"/>
      <c r="J643" s="111"/>
      <c r="K643" s="374"/>
      <c r="L643" s="214"/>
    </row>
    <row r="644" spans="2:12" x14ac:dyDescent="0.2">
      <c r="B644" s="324">
        <v>43427</v>
      </c>
      <c r="C644" s="148"/>
      <c r="D644" s="148" t="s">
        <v>135</v>
      </c>
      <c r="E644" s="215"/>
      <c r="F644" s="216"/>
      <c r="G644" s="99"/>
      <c r="H644" s="100"/>
      <c r="I644" s="129"/>
      <c r="J644" s="111">
        <v>1330700</v>
      </c>
      <c r="K644" s="374"/>
      <c r="L644" s="214"/>
    </row>
    <row r="645" spans="2:12" x14ac:dyDescent="0.2">
      <c r="B645" s="406">
        <v>43440</v>
      </c>
      <c r="C645" s="407"/>
      <c r="D645" s="407" t="s">
        <v>297</v>
      </c>
      <c r="E645" s="215"/>
      <c r="F645" s="216"/>
      <c r="G645" s="99">
        <v>797897</v>
      </c>
      <c r="H645" s="100"/>
      <c r="I645" s="129"/>
      <c r="J645" s="111"/>
      <c r="K645" s="374"/>
      <c r="L645" s="214"/>
    </row>
    <row r="646" spans="2:12" x14ac:dyDescent="0.2">
      <c r="B646" s="324">
        <v>43455</v>
      </c>
      <c r="C646" s="148"/>
      <c r="D646" s="148" t="s">
        <v>136</v>
      </c>
      <c r="E646" s="215"/>
      <c r="F646" s="216"/>
      <c r="G646" s="99"/>
      <c r="H646" s="100"/>
      <c r="I646" s="129"/>
      <c r="J646" s="111">
        <v>1596300</v>
      </c>
      <c r="K646" s="374"/>
      <c r="L646" s="214"/>
    </row>
    <row r="647" spans="2:12" x14ac:dyDescent="0.2">
      <c r="B647" s="324"/>
      <c r="C647" s="148"/>
      <c r="D647" s="148"/>
      <c r="E647" s="215"/>
      <c r="F647" s="216"/>
      <c r="G647" s="99"/>
      <c r="H647" s="100"/>
      <c r="I647" s="129"/>
      <c r="J647" s="111"/>
      <c r="K647" s="374"/>
      <c r="L647" s="214"/>
    </row>
    <row r="648" spans="2:12" ht="15.75" x14ac:dyDescent="0.25">
      <c r="B648" s="322"/>
      <c r="C648" s="232">
        <v>2020110407</v>
      </c>
      <c r="D648" s="232" t="s">
        <v>106</v>
      </c>
      <c r="E648" s="234">
        <v>2552484</v>
      </c>
      <c r="F648" s="235">
        <f>SUM(F649:F662)</f>
        <v>0</v>
      </c>
      <c r="G648" s="235">
        <f>SUM(G649:G662)</f>
        <v>300000</v>
      </c>
      <c r="H648" s="235">
        <f>SUM(H649:H662)</f>
        <v>31484</v>
      </c>
      <c r="I648" s="236">
        <f>ROUND((E648+F648+G648-H648),0)</f>
        <v>2821000</v>
      </c>
      <c r="J648" s="237">
        <f>SUM(J649:J662)</f>
        <v>2821000</v>
      </c>
      <c r="K648" s="373">
        <f>I648-J648</f>
        <v>0</v>
      </c>
      <c r="L648" s="214"/>
    </row>
    <row r="649" spans="2:12" x14ac:dyDescent="0.2">
      <c r="B649" s="324">
        <v>43129</v>
      </c>
      <c r="C649" s="148"/>
      <c r="D649" s="148" t="s">
        <v>183</v>
      </c>
      <c r="E649" s="215"/>
      <c r="F649" s="216"/>
      <c r="G649" s="99"/>
      <c r="H649" s="100"/>
      <c r="I649" s="129"/>
      <c r="J649" s="111">
        <v>225200</v>
      </c>
      <c r="K649" s="374"/>
      <c r="L649" s="214"/>
    </row>
    <row r="650" spans="2:12" x14ac:dyDescent="0.2">
      <c r="B650" s="324">
        <v>43157</v>
      </c>
      <c r="C650" s="148"/>
      <c r="D650" s="148" t="s">
        <v>199</v>
      </c>
      <c r="E650" s="215"/>
      <c r="F650" s="216"/>
      <c r="G650" s="99"/>
      <c r="H650" s="100"/>
      <c r="I650" s="129"/>
      <c r="J650" s="111">
        <v>211000</v>
      </c>
      <c r="K650" s="374"/>
      <c r="L650" s="214"/>
    </row>
    <row r="651" spans="2:12" x14ac:dyDescent="0.2">
      <c r="B651" s="324">
        <v>43181</v>
      </c>
      <c r="C651" s="148"/>
      <c r="D651" s="148" t="s">
        <v>127</v>
      </c>
      <c r="E651" s="215"/>
      <c r="F651" s="216"/>
      <c r="G651" s="99"/>
      <c r="H651" s="100"/>
      <c r="I651" s="129"/>
      <c r="J651" s="111">
        <v>235100</v>
      </c>
      <c r="K651" s="374"/>
      <c r="L651" s="214"/>
    </row>
    <row r="652" spans="2:12" x14ac:dyDescent="0.2">
      <c r="B652" s="324">
        <v>43214</v>
      </c>
      <c r="C652" s="148"/>
      <c r="D652" s="148" t="s">
        <v>128</v>
      </c>
      <c r="E652" s="215"/>
      <c r="F652" s="216"/>
      <c r="G652" s="99"/>
      <c r="H652" s="100"/>
      <c r="I652" s="129"/>
      <c r="J652" s="111">
        <v>165300</v>
      </c>
      <c r="K652" s="374"/>
      <c r="L652" s="214"/>
    </row>
    <row r="653" spans="2:12" x14ac:dyDescent="0.2">
      <c r="B653" s="324">
        <v>43244</v>
      </c>
      <c r="C653" s="148"/>
      <c r="D653" s="148" t="s">
        <v>129</v>
      </c>
      <c r="E653" s="215"/>
      <c r="F653" s="216"/>
      <c r="G653" s="99"/>
      <c r="H653" s="100"/>
      <c r="I653" s="129"/>
      <c r="J653" s="111">
        <v>215400</v>
      </c>
      <c r="K653" s="374"/>
      <c r="L653" s="214"/>
    </row>
    <row r="654" spans="2:12" x14ac:dyDescent="0.2">
      <c r="B654" s="324">
        <v>43277</v>
      </c>
      <c r="C654" s="148"/>
      <c r="D654" s="148" t="s">
        <v>130</v>
      </c>
      <c r="E654" s="215"/>
      <c r="F654" s="216"/>
      <c r="G654" s="99"/>
      <c r="H654" s="100"/>
      <c r="I654" s="129"/>
      <c r="J654" s="111">
        <v>279300</v>
      </c>
      <c r="K654" s="374"/>
      <c r="L654" s="214"/>
    </row>
    <row r="655" spans="2:12" x14ac:dyDescent="0.2">
      <c r="B655" s="324">
        <v>43305</v>
      </c>
      <c r="C655" s="148"/>
      <c r="D655" s="148" t="s">
        <v>131</v>
      </c>
      <c r="E655" s="215"/>
      <c r="F655" s="216"/>
      <c r="G655" s="99"/>
      <c r="H655" s="100"/>
      <c r="I655" s="129"/>
      <c r="J655" s="111">
        <v>296600</v>
      </c>
      <c r="K655" s="374"/>
      <c r="L655" s="214"/>
    </row>
    <row r="656" spans="2:12" x14ac:dyDescent="0.2">
      <c r="B656" s="324">
        <v>43336</v>
      </c>
      <c r="C656" s="148"/>
      <c r="D656" s="148" t="s">
        <v>132</v>
      </c>
      <c r="E656" s="215"/>
      <c r="F656" s="216"/>
      <c r="G656" s="99"/>
      <c r="H656" s="100"/>
      <c r="I656" s="129"/>
      <c r="J656" s="111">
        <v>226000</v>
      </c>
      <c r="K656" s="374"/>
      <c r="L656" s="214"/>
    </row>
    <row r="657" spans="2:12" x14ac:dyDescent="0.2">
      <c r="B657" s="324">
        <v>43367</v>
      </c>
      <c r="C657" s="148"/>
      <c r="D657" s="148" t="s">
        <v>133</v>
      </c>
      <c r="E657" s="215"/>
      <c r="F657" s="216"/>
      <c r="G657" s="99"/>
      <c r="H657" s="100"/>
      <c r="I657" s="129"/>
      <c r="J657" s="111">
        <v>209800</v>
      </c>
      <c r="K657" s="374"/>
      <c r="L657" s="214"/>
    </row>
    <row r="658" spans="2:12" x14ac:dyDescent="0.2">
      <c r="B658" s="355">
        <v>43397</v>
      </c>
      <c r="C658" s="356"/>
      <c r="D658" s="357" t="s">
        <v>134</v>
      </c>
      <c r="E658" s="215"/>
      <c r="F658" s="216"/>
      <c r="G658" s="99"/>
      <c r="H658" s="100"/>
      <c r="I658" s="129"/>
      <c r="J658" s="111">
        <v>268600</v>
      </c>
      <c r="K658" s="374"/>
      <c r="L658" s="214"/>
    </row>
    <row r="659" spans="2:12" x14ac:dyDescent="0.2">
      <c r="B659" s="355">
        <v>43417</v>
      </c>
      <c r="C659" s="356"/>
      <c r="D659" s="357" t="s">
        <v>285</v>
      </c>
      <c r="E659" s="215"/>
      <c r="F659" s="216"/>
      <c r="G659" s="99">
        <v>300000</v>
      </c>
      <c r="H659" s="100"/>
      <c r="I659" s="129"/>
      <c r="J659" s="111"/>
      <c r="K659" s="374"/>
      <c r="L659" s="214"/>
    </row>
    <row r="660" spans="2:12" x14ac:dyDescent="0.2">
      <c r="B660" s="355">
        <v>43427</v>
      </c>
      <c r="C660" s="356"/>
      <c r="D660" s="357" t="s">
        <v>287</v>
      </c>
      <c r="E660" s="215"/>
      <c r="F660" s="216"/>
      <c r="G660" s="99"/>
      <c r="H660" s="100"/>
      <c r="I660" s="129"/>
      <c r="J660" s="111">
        <v>222200</v>
      </c>
      <c r="K660" s="374"/>
      <c r="L660" s="214"/>
    </row>
    <row r="661" spans="2:12" x14ac:dyDescent="0.2">
      <c r="B661" s="406">
        <v>43440</v>
      </c>
      <c r="C661" s="407"/>
      <c r="D661" s="408" t="s">
        <v>306</v>
      </c>
      <c r="E661" s="215"/>
      <c r="F661" s="216"/>
      <c r="G661" s="99"/>
      <c r="H661" s="100">
        <v>31484</v>
      </c>
      <c r="I661" s="129"/>
      <c r="J661" s="111"/>
      <c r="K661" s="374"/>
      <c r="L661" s="214"/>
    </row>
    <row r="662" spans="2:12" x14ac:dyDescent="0.2">
      <c r="B662" s="324">
        <v>43455</v>
      </c>
      <c r="C662" s="148"/>
      <c r="D662" s="148" t="s">
        <v>136</v>
      </c>
      <c r="E662" s="215"/>
      <c r="F662" s="216"/>
      <c r="G662" s="99"/>
      <c r="H662" s="100"/>
      <c r="I662" s="129"/>
      <c r="J662" s="111">
        <v>266500</v>
      </c>
      <c r="K662" s="374"/>
      <c r="L662" s="214"/>
    </row>
    <row r="663" spans="2:12" ht="15.75" x14ac:dyDescent="0.25">
      <c r="B663" s="322"/>
      <c r="C663" s="232">
        <v>2020110408</v>
      </c>
      <c r="D663" s="232" t="s">
        <v>108</v>
      </c>
      <c r="E663" s="234">
        <v>2552484</v>
      </c>
      <c r="F663" s="235">
        <f>SUM(F664:F682)</f>
        <v>0</v>
      </c>
      <c r="G663" s="235">
        <f>SUM(G664:G682)</f>
        <v>300000</v>
      </c>
      <c r="H663" s="235">
        <f>SUM(H664:H682)</f>
        <v>31484</v>
      </c>
      <c r="I663" s="236">
        <f>ROUND((E663+F663+G663-H663),0)</f>
        <v>2821000</v>
      </c>
      <c r="J663" s="237">
        <f>SUM(J664:J682)</f>
        <v>2821000</v>
      </c>
      <c r="K663" s="373">
        <f>I663-J663</f>
        <v>0</v>
      </c>
      <c r="L663" s="214"/>
    </row>
    <row r="664" spans="2:12" x14ac:dyDescent="0.2">
      <c r="B664" s="324">
        <v>43129</v>
      </c>
      <c r="C664" s="148"/>
      <c r="D664" s="148" t="s">
        <v>183</v>
      </c>
      <c r="E664" s="215"/>
      <c r="F664" s="216"/>
      <c r="G664" s="99"/>
      <c r="H664" s="100"/>
      <c r="I664" s="129"/>
      <c r="J664" s="111">
        <v>225200</v>
      </c>
      <c r="K664" s="374"/>
      <c r="L664" s="214"/>
    </row>
    <row r="665" spans="2:12" x14ac:dyDescent="0.2">
      <c r="B665" s="324">
        <v>43157</v>
      </c>
      <c r="C665" s="148"/>
      <c r="D665" s="148" t="s">
        <v>199</v>
      </c>
      <c r="E665" s="215"/>
      <c r="F665" s="216"/>
      <c r="G665" s="99"/>
      <c r="H665" s="100"/>
      <c r="I665" s="129"/>
      <c r="J665" s="111">
        <v>211000</v>
      </c>
      <c r="K665" s="374"/>
      <c r="L665" s="214"/>
    </row>
    <row r="666" spans="2:12" x14ac:dyDescent="0.2">
      <c r="B666" s="324">
        <v>43181</v>
      </c>
      <c r="C666" s="148"/>
      <c r="D666" s="148" t="s">
        <v>127</v>
      </c>
      <c r="E666" s="215"/>
      <c r="F666" s="216"/>
      <c r="G666" s="99"/>
      <c r="H666" s="100"/>
      <c r="I666" s="129"/>
      <c r="J666" s="111">
        <v>235100</v>
      </c>
      <c r="K666" s="374"/>
      <c r="L666" s="214"/>
    </row>
    <row r="667" spans="2:12" x14ac:dyDescent="0.2">
      <c r="B667" s="324">
        <v>43214</v>
      </c>
      <c r="C667" s="148"/>
      <c r="D667" s="148" t="s">
        <v>128</v>
      </c>
      <c r="E667" s="215"/>
      <c r="F667" s="216"/>
      <c r="G667" s="99"/>
      <c r="H667" s="100"/>
      <c r="I667" s="129"/>
      <c r="J667" s="111">
        <v>165300</v>
      </c>
      <c r="K667" s="374"/>
      <c r="L667" s="214"/>
    </row>
    <row r="668" spans="2:12" x14ac:dyDescent="0.2">
      <c r="B668" s="324">
        <v>43244</v>
      </c>
      <c r="C668" s="148"/>
      <c r="D668" s="148" t="s">
        <v>129</v>
      </c>
      <c r="E668" s="215"/>
      <c r="F668" s="216"/>
      <c r="G668" s="99"/>
      <c r="H668" s="100"/>
      <c r="I668" s="129"/>
      <c r="J668" s="111">
        <v>215400</v>
      </c>
      <c r="K668" s="374"/>
      <c r="L668" s="214"/>
    </row>
    <row r="669" spans="2:12" x14ac:dyDescent="0.2">
      <c r="B669" s="324">
        <v>43277</v>
      </c>
      <c r="C669" s="148"/>
      <c r="D669" s="148" t="s">
        <v>130</v>
      </c>
      <c r="E669" s="215"/>
      <c r="F669" s="216"/>
      <c r="G669" s="99"/>
      <c r="H669" s="100"/>
      <c r="I669" s="129"/>
      <c r="J669" s="111">
        <v>279300</v>
      </c>
      <c r="K669" s="374"/>
      <c r="L669" s="214"/>
    </row>
    <row r="670" spans="2:12" x14ac:dyDescent="0.2">
      <c r="B670" s="324">
        <v>43305</v>
      </c>
      <c r="C670" s="148"/>
      <c r="D670" s="148" t="s">
        <v>131</v>
      </c>
      <c r="E670" s="215"/>
      <c r="F670" s="216"/>
      <c r="G670" s="99"/>
      <c r="H670" s="100"/>
      <c r="I670" s="129"/>
      <c r="J670" s="111">
        <v>296600</v>
      </c>
      <c r="K670" s="374"/>
      <c r="L670" s="214"/>
    </row>
    <row r="671" spans="2:12" x14ac:dyDescent="0.2">
      <c r="B671" s="324">
        <v>43336</v>
      </c>
      <c r="C671" s="148"/>
      <c r="D671" s="148" t="s">
        <v>132</v>
      </c>
      <c r="E671" s="215"/>
      <c r="F671" s="216"/>
      <c r="G671" s="99"/>
      <c r="H671" s="100"/>
      <c r="I671" s="129"/>
      <c r="J671" s="111">
        <v>226000</v>
      </c>
      <c r="K671" s="374"/>
      <c r="L671" s="214"/>
    </row>
    <row r="672" spans="2:12" x14ac:dyDescent="0.2">
      <c r="B672" s="324">
        <v>43367</v>
      </c>
      <c r="C672" s="148"/>
      <c r="D672" s="148" t="s">
        <v>133</v>
      </c>
      <c r="E672" s="215"/>
      <c r="F672" s="216"/>
      <c r="G672" s="99"/>
      <c r="H672" s="100"/>
      <c r="I672" s="129"/>
      <c r="J672" s="111">
        <v>209800</v>
      </c>
      <c r="K672" s="374"/>
      <c r="L672" s="214"/>
    </row>
    <row r="673" spans="2:12" x14ac:dyDescent="0.2">
      <c r="B673" s="355">
        <v>43397</v>
      </c>
      <c r="C673" s="356"/>
      <c r="D673" s="357" t="s">
        <v>134</v>
      </c>
      <c r="E673" s="215"/>
      <c r="F673" s="216"/>
      <c r="G673" s="99"/>
      <c r="H673" s="100"/>
      <c r="I673" s="129"/>
      <c r="J673" s="111">
        <v>268600</v>
      </c>
      <c r="K673" s="374"/>
      <c r="L673" s="214"/>
    </row>
    <row r="674" spans="2:12" x14ac:dyDescent="0.2">
      <c r="B674" s="355">
        <v>43417</v>
      </c>
      <c r="C674" s="356"/>
      <c r="D674" s="357" t="s">
        <v>285</v>
      </c>
      <c r="E674" s="215"/>
      <c r="F674" s="216"/>
      <c r="G674" s="99">
        <v>300000</v>
      </c>
      <c r="H674" s="100"/>
      <c r="I674" s="129"/>
      <c r="J674" s="111"/>
      <c r="K674" s="374"/>
      <c r="L674" s="214"/>
    </row>
    <row r="675" spans="2:12" x14ac:dyDescent="0.2">
      <c r="B675" s="324">
        <v>43427</v>
      </c>
      <c r="C675" s="148"/>
      <c r="D675" s="148" t="s">
        <v>135</v>
      </c>
      <c r="E675" s="215"/>
      <c r="F675" s="216"/>
      <c r="G675" s="99"/>
      <c r="H675" s="100"/>
      <c r="I675" s="129"/>
      <c r="J675" s="111">
        <v>222200</v>
      </c>
      <c r="K675" s="374"/>
      <c r="L675" s="214"/>
    </row>
    <row r="676" spans="2:12" x14ac:dyDescent="0.2">
      <c r="B676" s="406">
        <v>43440</v>
      </c>
      <c r="C676" s="407"/>
      <c r="D676" s="407" t="s">
        <v>306</v>
      </c>
      <c r="E676" s="215"/>
      <c r="F676" s="216"/>
      <c r="G676" s="99"/>
      <c r="H676" s="100">
        <v>31484</v>
      </c>
      <c r="I676" s="129"/>
      <c r="J676" s="111"/>
      <c r="K676" s="374"/>
      <c r="L676" s="214"/>
    </row>
    <row r="677" spans="2:12" x14ac:dyDescent="0.2">
      <c r="B677" s="324"/>
      <c r="C677" s="148"/>
      <c r="D677" s="148" t="s">
        <v>136</v>
      </c>
      <c r="E677" s="215"/>
      <c r="F677" s="216"/>
      <c r="G677" s="99"/>
      <c r="H677" s="100"/>
      <c r="I677" s="129"/>
      <c r="J677" s="111">
        <v>266500</v>
      </c>
      <c r="K677" s="374"/>
      <c r="L677" s="214"/>
    </row>
    <row r="678" spans="2:12" x14ac:dyDescent="0.2">
      <c r="B678" s="324"/>
      <c r="C678" s="148"/>
      <c r="D678" s="148"/>
      <c r="E678" s="215"/>
      <c r="F678" s="216"/>
      <c r="G678" s="99"/>
      <c r="H678" s="100"/>
      <c r="I678" s="129"/>
      <c r="J678" s="111"/>
      <c r="K678" s="374"/>
      <c r="L678" s="214"/>
    </row>
    <row r="679" spans="2:12" x14ac:dyDescent="0.2">
      <c r="B679" s="324"/>
      <c r="C679" s="148"/>
      <c r="D679" s="148"/>
      <c r="E679" s="215"/>
      <c r="F679" s="216"/>
      <c r="G679" s="99"/>
      <c r="H679" s="100"/>
      <c r="I679" s="129"/>
      <c r="J679" s="111"/>
      <c r="K679" s="374"/>
      <c r="L679" s="214"/>
    </row>
    <row r="680" spans="2:12" x14ac:dyDescent="0.2">
      <c r="B680" s="324"/>
      <c r="C680" s="148"/>
      <c r="D680" s="148"/>
      <c r="E680" s="215"/>
      <c r="F680" s="216"/>
      <c r="G680" s="99"/>
      <c r="H680" s="100"/>
      <c r="I680" s="129"/>
      <c r="J680" s="111"/>
      <c r="K680" s="374"/>
      <c r="L680" s="214"/>
    </row>
    <row r="681" spans="2:12" x14ac:dyDescent="0.2">
      <c r="B681" s="324"/>
      <c r="C681" s="148"/>
      <c r="D681" s="148"/>
      <c r="E681" s="215"/>
      <c r="F681" s="216"/>
      <c r="G681" s="99"/>
      <c r="H681" s="100"/>
      <c r="I681" s="129"/>
      <c r="J681" s="111"/>
      <c r="K681" s="374"/>
      <c r="L681" s="214"/>
    </row>
    <row r="682" spans="2:12" x14ac:dyDescent="0.2">
      <c r="B682" s="324"/>
      <c r="C682" s="148"/>
      <c r="D682" s="148"/>
      <c r="E682" s="215"/>
      <c r="F682" s="216"/>
      <c r="G682" s="99"/>
      <c r="H682" s="100"/>
      <c r="I682" s="129"/>
      <c r="J682" s="111"/>
      <c r="K682" s="374"/>
      <c r="L682" s="214"/>
    </row>
    <row r="683" spans="2:12" ht="15.75" x14ac:dyDescent="0.25">
      <c r="B683" s="322"/>
      <c r="C683" s="232" t="s">
        <v>109</v>
      </c>
      <c r="D683" s="232" t="s">
        <v>110</v>
      </c>
      <c r="E683" s="234">
        <v>5104968</v>
      </c>
      <c r="F683" s="235">
        <f>SUM(F684:F692)</f>
        <v>0</v>
      </c>
      <c r="G683" s="235">
        <f>SUM(G684:G699)</f>
        <v>531232</v>
      </c>
      <c r="H683" s="235">
        <f>SUM(H684:H692)</f>
        <v>0</v>
      </c>
      <c r="I683" s="236">
        <f>ROUND((E683+F683+G683-H683),0)</f>
        <v>5636200</v>
      </c>
      <c r="J683" s="237">
        <f>SUM(J684:J699)</f>
        <v>5636200</v>
      </c>
      <c r="K683" s="373">
        <f>I683-J683</f>
        <v>0</v>
      </c>
      <c r="L683" s="214"/>
    </row>
    <row r="684" spans="2:12" x14ac:dyDescent="0.2">
      <c r="B684" s="324">
        <v>43129</v>
      </c>
      <c r="C684" s="148"/>
      <c r="D684" s="148" t="s">
        <v>183</v>
      </c>
      <c r="E684" s="215"/>
      <c r="F684" s="216"/>
      <c r="G684" s="99"/>
      <c r="H684" s="100"/>
      <c r="I684" s="129"/>
      <c r="J684" s="111">
        <v>449900</v>
      </c>
      <c r="K684" s="374"/>
      <c r="L684" s="214"/>
    </row>
    <row r="685" spans="2:12" x14ac:dyDescent="0.2">
      <c r="B685" s="324">
        <v>43157</v>
      </c>
      <c r="C685" s="148"/>
      <c r="D685" s="148" t="s">
        <v>199</v>
      </c>
      <c r="E685" s="215"/>
      <c r="F685" s="216"/>
      <c r="G685" s="99"/>
      <c r="H685" s="100"/>
      <c r="I685" s="129"/>
      <c r="J685" s="111">
        <v>421500</v>
      </c>
      <c r="K685" s="374"/>
      <c r="L685" s="214"/>
    </row>
    <row r="686" spans="2:12" x14ac:dyDescent="0.2">
      <c r="B686" s="324">
        <v>43181</v>
      </c>
      <c r="C686" s="148"/>
      <c r="D686" s="148" t="s">
        <v>127</v>
      </c>
      <c r="E686" s="215"/>
      <c r="F686" s="216"/>
      <c r="G686" s="99"/>
      <c r="H686" s="100"/>
      <c r="I686" s="129"/>
      <c r="J686" s="111">
        <v>469600</v>
      </c>
      <c r="K686" s="374"/>
      <c r="L686" s="214"/>
    </row>
    <row r="687" spans="2:12" x14ac:dyDescent="0.2">
      <c r="B687" s="324">
        <v>43215</v>
      </c>
      <c r="C687" s="148"/>
      <c r="D687" s="148" t="s">
        <v>128</v>
      </c>
      <c r="E687" s="215"/>
      <c r="F687" s="216"/>
      <c r="G687" s="99"/>
      <c r="H687" s="100"/>
      <c r="I687" s="129"/>
      <c r="J687" s="111">
        <v>330100</v>
      </c>
      <c r="K687" s="374"/>
      <c r="L687" s="214"/>
    </row>
    <row r="688" spans="2:12" x14ac:dyDescent="0.2">
      <c r="B688" s="324">
        <v>43244</v>
      </c>
      <c r="C688" s="148"/>
      <c r="D688" s="148" t="s">
        <v>129</v>
      </c>
      <c r="E688" s="215"/>
      <c r="F688" s="216"/>
      <c r="G688" s="99"/>
      <c r="H688" s="100"/>
      <c r="I688" s="129"/>
      <c r="J688" s="111">
        <v>430300</v>
      </c>
      <c r="K688" s="374"/>
      <c r="L688" s="214"/>
    </row>
    <row r="689" spans="2:12" x14ac:dyDescent="0.2">
      <c r="B689" s="324">
        <v>43277</v>
      </c>
      <c r="C689" s="148"/>
      <c r="D689" s="148" t="s">
        <v>130</v>
      </c>
      <c r="E689" s="215"/>
      <c r="F689" s="216"/>
      <c r="G689" s="99"/>
      <c r="H689" s="100"/>
      <c r="I689" s="129"/>
      <c r="J689" s="111">
        <v>558200</v>
      </c>
      <c r="K689" s="374"/>
      <c r="L689" s="214"/>
    </row>
    <row r="690" spans="2:12" x14ac:dyDescent="0.2">
      <c r="B690" s="324">
        <v>43305</v>
      </c>
      <c r="C690" s="148"/>
      <c r="D690" s="148" t="s">
        <v>131</v>
      </c>
      <c r="E690" s="215"/>
      <c r="F690" s="216"/>
      <c r="G690" s="99"/>
      <c r="H690" s="100"/>
      <c r="I690" s="129"/>
      <c r="J690" s="111">
        <v>592700</v>
      </c>
      <c r="K690" s="374"/>
      <c r="L690" s="214"/>
    </row>
    <row r="691" spans="2:12" x14ac:dyDescent="0.2">
      <c r="B691" s="324">
        <v>43336</v>
      </c>
      <c r="C691" s="148"/>
      <c r="D691" s="148" t="s">
        <v>132</v>
      </c>
      <c r="E691" s="215"/>
      <c r="F691" s="216"/>
      <c r="G691" s="99"/>
      <c r="H691" s="100"/>
      <c r="I691" s="129"/>
      <c r="J691" s="111">
        <v>451000</v>
      </c>
      <c r="K691" s="374"/>
      <c r="L691" s="214"/>
    </row>
    <row r="692" spans="2:12" x14ac:dyDescent="0.2">
      <c r="B692" s="324">
        <v>43367</v>
      </c>
      <c r="C692" s="148"/>
      <c r="D692" s="148" t="s">
        <v>133</v>
      </c>
      <c r="E692" s="215"/>
      <c r="F692" s="216"/>
      <c r="G692" s="99"/>
      <c r="H692" s="100"/>
      <c r="I692" s="129"/>
      <c r="J692" s="111">
        <v>419200</v>
      </c>
      <c r="K692" s="374"/>
      <c r="L692" s="214"/>
    </row>
    <row r="693" spans="2:12" x14ac:dyDescent="0.2">
      <c r="B693" s="355">
        <v>43397</v>
      </c>
      <c r="C693" s="356"/>
      <c r="D693" s="357" t="s">
        <v>134</v>
      </c>
      <c r="E693" s="215"/>
      <c r="F693" s="216"/>
      <c r="G693" s="99"/>
      <c r="H693" s="100"/>
      <c r="I693" s="129"/>
      <c r="J693" s="111">
        <v>536600</v>
      </c>
      <c r="K693" s="374"/>
      <c r="L693" s="214"/>
    </row>
    <row r="694" spans="2:12" x14ac:dyDescent="0.2">
      <c r="B694" s="324">
        <v>43403</v>
      </c>
      <c r="C694" s="148"/>
      <c r="D694" s="148" t="s">
        <v>252</v>
      </c>
      <c r="E694" s="215"/>
      <c r="F694" s="216"/>
      <c r="G694" s="99"/>
      <c r="H694" s="100"/>
      <c r="I694" s="129"/>
      <c r="J694" s="111">
        <v>600</v>
      </c>
      <c r="K694" s="374"/>
      <c r="L694" s="214"/>
    </row>
    <row r="695" spans="2:12" x14ac:dyDescent="0.2">
      <c r="B695" s="324">
        <v>43427</v>
      </c>
      <c r="C695" s="148"/>
      <c r="D695" s="148" t="s">
        <v>135</v>
      </c>
      <c r="E695" s="215"/>
      <c r="F695" s="216"/>
      <c r="G695" s="99"/>
      <c r="H695" s="100"/>
      <c r="I695" s="129"/>
      <c r="J695" s="111">
        <v>444000</v>
      </c>
      <c r="K695" s="374"/>
      <c r="L695" s="214"/>
    </row>
    <row r="696" spans="2:12" x14ac:dyDescent="0.2">
      <c r="B696" s="406">
        <v>43440</v>
      </c>
      <c r="C696" s="407"/>
      <c r="D696" s="407" t="s">
        <v>298</v>
      </c>
      <c r="E696" s="215"/>
      <c r="F696" s="216"/>
      <c r="G696" s="99">
        <v>531232</v>
      </c>
      <c r="H696" s="100"/>
      <c r="I696" s="129"/>
      <c r="J696" s="111"/>
      <c r="K696" s="374"/>
      <c r="L696" s="214"/>
    </row>
    <row r="697" spans="2:12" x14ac:dyDescent="0.2">
      <c r="B697" s="324">
        <v>43455</v>
      </c>
      <c r="C697" s="148"/>
      <c r="D697" s="148" t="s">
        <v>136</v>
      </c>
      <c r="E697" s="215"/>
      <c r="F697" s="216"/>
      <c r="G697" s="99"/>
      <c r="H697" s="100"/>
      <c r="I697" s="129"/>
      <c r="J697" s="111">
        <v>532500</v>
      </c>
      <c r="K697" s="374"/>
      <c r="L697" s="214"/>
    </row>
    <row r="698" spans="2:12" x14ac:dyDescent="0.2">
      <c r="B698" s="324"/>
      <c r="C698" s="148"/>
      <c r="D698" s="148"/>
      <c r="E698" s="215"/>
      <c r="F698" s="216"/>
      <c r="G698" s="99"/>
      <c r="H698" s="100"/>
      <c r="I698" s="129"/>
      <c r="J698" s="111"/>
      <c r="K698" s="374"/>
      <c r="L698" s="214"/>
    </row>
    <row r="699" spans="2:12" x14ac:dyDescent="0.2">
      <c r="B699" s="324"/>
      <c r="C699" s="148"/>
      <c r="D699" s="148"/>
      <c r="E699" s="215"/>
      <c r="F699" s="216"/>
      <c r="G699" s="99"/>
      <c r="H699" s="100"/>
      <c r="I699" s="129"/>
      <c r="J699" s="111"/>
      <c r="K699" s="374"/>
      <c r="L699" s="214"/>
    </row>
    <row r="700" spans="2:12" ht="15.75" x14ac:dyDescent="0.25">
      <c r="B700" s="322"/>
      <c r="C700" s="232" t="s">
        <v>111</v>
      </c>
      <c r="D700" s="232" t="s">
        <v>112</v>
      </c>
      <c r="E700" s="234">
        <v>0</v>
      </c>
      <c r="F700" s="236">
        <f>SUM(F701:F708)</f>
        <v>0</v>
      </c>
      <c r="G700" s="236">
        <f>SUM(G701:G708)</f>
        <v>0</v>
      </c>
      <c r="H700" s="236">
        <f>SUM(H701:H708)</f>
        <v>0</v>
      </c>
      <c r="I700" s="236">
        <f>ROUND((E700+F700+G700-H700),0)</f>
        <v>0</v>
      </c>
      <c r="J700" s="286">
        <f>E700+F700+G700-H700</f>
        <v>0</v>
      </c>
      <c r="K700" s="388">
        <f>I700-J700</f>
        <v>0</v>
      </c>
      <c r="L700" s="214"/>
    </row>
    <row r="701" spans="2:12" x14ac:dyDescent="0.2">
      <c r="B701" s="324"/>
      <c r="C701" s="148"/>
      <c r="D701" s="148"/>
      <c r="E701" s="215"/>
      <c r="F701" s="216"/>
      <c r="G701" s="99"/>
      <c r="H701" s="100"/>
      <c r="I701" s="129"/>
      <c r="J701" s="214"/>
      <c r="K701" s="374"/>
      <c r="L701" s="214"/>
    </row>
    <row r="702" spans="2:12" x14ac:dyDescent="0.2">
      <c r="B702" s="324"/>
      <c r="C702" s="148"/>
      <c r="D702" s="148"/>
      <c r="E702" s="215"/>
      <c r="F702" s="216"/>
      <c r="G702" s="99"/>
      <c r="H702" s="100"/>
      <c r="I702" s="129"/>
      <c r="J702" s="214"/>
      <c r="K702" s="374"/>
      <c r="L702" s="214"/>
    </row>
    <row r="703" spans="2:12" x14ac:dyDescent="0.2">
      <c r="B703" s="324"/>
      <c r="C703" s="148"/>
      <c r="D703" s="148"/>
      <c r="E703" s="215"/>
      <c r="F703" s="216"/>
      <c r="G703" s="99"/>
      <c r="H703" s="100"/>
      <c r="I703" s="129"/>
      <c r="J703" s="214"/>
      <c r="K703" s="374"/>
      <c r="L703" s="214"/>
    </row>
    <row r="704" spans="2:12" x14ac:dyDescent="0.2">
      <c r="B704" s="324"/>
      <c r="C704" s="148"/>
      <c r="D704" s="148"/>
      <c r="E704" s="215"/>
      <c r="F704" s="216"/>
      <c r="G704" s="99"/>
      <c r="H704" s="100"/>
      <c r="I704" s="129"/>
      <c r="J704" s="214"/>
      <c r="K704" s="374"/>
      <c r="L704" s="214"/>
    </row>
    <row r="705" spans="2:13" x14ac:dyDescent="0.2">
      <c r="B705" s="324"/>
      <c r="C705" s="148"/>
      <c r="D705" s="148"/>
      <c r="E705" s="215"/>
      <c r="F705" s="216"/>
      <c r="G705" s="99"/>
      <c r="H705" s="100"/>
      <c r="I705" s="129"/>
      <c r="J705" s="214"/>
      <c r="K705" s="374"/>
      <c r="L705" s="214"/>
    </row>
    <row r="706" spans="2:13" x14ac:dyDescent="0.2">
      <c r="B706" s="324"/>
      <c r="C706" s="148"/>
      <c r="D706" s="148"/>
      <c r="E706" s="215"/>
      <c r="F706" s="216"/>
      <c r="G706" s="99"/>
      <c r="H706" s="100"/>
      <c r="I706" s="129"/>
      <c r="J706" s="214"/>
      <c r="K706" s="374"/>
      <c r="L706" s="214"/>
    </row>
    <row r="707" spans="2:13" x14ac:dyDescent="0.2">
      <c r="B707" s="324"/>
      <c r="C707" s="148"/>
      <c r="D707" s="148"/>
      <c r="E707" s="215"/>
      <c r="F707" s="216"/>
      <c r="G707" s="99"/>
      <c r="H707" s="100"/>
      <c r="I707" s="129"/>
      <c r="J707" s="214"/>
      <c r="K707" s="374"/>
      <c r="L707" s="214"/>
    </row>
    <row r="708" spans="2:13" x14ac:dyDescent="0.2">
      <c r="B708" s="324"/>
      <c r="C708" s="148"/>
      <c r="D708" s="148"/>
      <c r="E708" s="215"/>
      <c r="F708" s="216"/>
      <c r="G708" s="99"/>
      <c r="H708" s="100"/>
      <c r="I708" s="129"/>
      <c r="J708" s="214"/>
      <c r="K708" s="374"/>
      <c r="L708" s="214"/>
    </row>
    <row r="709" spans="2:13" ht="15.75" x14ac:dyDescent="0.25">
      <c r="B709" s="338"/>
      <c r="C709" s="265">
        <v>20201301</v>
      </c>
      <c r="D709" s="266" t="s">
        <v>116</v>
      </c>
      <c r="E709" s="267">
        <f t="shared" ref="E709:J709" si="4">E710</f>
        <v>0</v>
      </c>
      <c r="F709" s="266">
        <f t="shared" si="4"/>
        <v>45000000</v>
      </c>
      <c r="G709" s="266">
        <f t="shared" si="4"/>
        <v>2727400</v>
      </c>
      <c r="H709" s="266">
        <f t="shared" si="4"/>
        <v>0</v>
      </c>
      <c r="I709" s="266">
        <f t="shared" si="4"/>
        <v>47727400</v>
      </c>
      <c r="J709" s="268">
        <f t="shared" si="4"/>
        <v>47003500</v>
      </c>
      <c r="K709" s="389"/>
      <c r="L709" s="214"/>
    </row>
    <row r="710" spans="2:13" ht="15.75" x14ac:dyDescent="0.25">
      <c r="B710" s="322"/>
      <c r="C710" s="232">
        <v>2020130101</v>
      </c>
      <c r="D710" s="232" t="s">
        <v>165</v>
      </c>
      <c r="E710" s="236">
        <v>0</v>
      </c>
      <c r="F710" s="235">
        <f>SUM(F711:F715)</f>
        <v>45000000</v>
      </c>
      <c r="G710" s="235">
        <f>SUM(G711:G715)</f>
        <v>2727400</v>
      </c>
      <c r="H710" s="235">
        <f>SUM(H711:H715)</f>
        <v>0</v>
      </c>
      <c r="I710" s="294">
        <f>E710+F710+G710-H710</f>
        <v>47727400</v>
      </c>
      <c r="J710" s="285">
        <f>SUM(J711:J715)</f>
        <v>47003500</v>
      </c>
      <c r="K710" s="388">
        <f>I710-J710</f>
        <v>723900</v>
      </c>
      <c r="L710" s="214"/>
    </row>
    <row r="711" spans="2:13" x14ac:dyDescent="0.2">
      <c r="B711" s="339">
        <v>43194</v>
      </c>
      <c r="C711" s="287"/>
      <c r="D711" s="287" t="s">
        <v>231</v>
      </c>
      <c r="E711" s="288"/>
      <c r="F711" s="289">
        <v>45000000</v>
      </c>
      <c r="G711" s="290"/>
      <c r="H711" s="291"/>
      <c r="I711" s="292"/>
      <c r="J711" s="401">
        <v>45000000</v>
      </c>
      <c r="K711" s="390"/>
      <c r="L711" s="214"/>
    </row>
    <row r="712" spans="2:13" x14ac:dyDescent="0.2">
      <c r="B712" s="415">
        <v>43450</v>
      </c>
      <c r="C712" s="416"/>
      <c r="D712" s="416" t="s">
        <v>314</v>
      </c>
      <c r="E712" s="288"/>
      <c r="F712" s="289"/>
      <c r="G712" s="290">
        <v>2727400</v>
      </c>
      <c r="H712" s="291"/>
      <c r="I712" s="292"/>
      <c r="J712" s="401">
        <v>2003500</v>
      </c>
      <c r="K712" s="390"/>
      <c r="L712" s="214"/>
    </row>
    <row r="713" spans="2:13" x14ac:dyDescent="0.2">
      <c r="B713" s="339"/>
      <c r="C713" s="287"/>
      <c r="D713" s="287"/>
      <c r="E713" s="288"/>
      <c r="F713" s="289"/>
      <c r="G713" s="290"/>
      <c r="H713" s="291"/>
      <c r="I713" s="292"/>
      <c r="J713" s="293"/>
      <c r="K713" s="390"/>
      <c r="L713" s="214"/>
    </row>
    <row r="714" spans="2:13" x14ac:dyDescent="0.2">
      <c r="B714" s="339"/>
      <c r="C714" s="287"/>
      <c r="D714" s="287"/>
      <c r="E714" s="288"/>
      <c r="F714" s="289"/>
      <c r="G714" s="290"/>
      <c r="H714" s="291"/>
      <c r="I714" s="292"/>
      <c r="J714" s="293"/>
      <c r="K714" s="390"/>
      <c r="L714" s="214"/>
    </row>
    <row r="715" spans="2:13" ht="18" x14ac:dyDescent="0.25">
      <c r="B715" s="339"/>
      <c r="C715" s="287"/>
      <c r="D715" s="287"/>
      <c r="E715" s="302"/>
      <c r="F715" s="303"/>
      <c r="G715" s="304"/>
      <c r="H715" s="305"/>
      <c r="I715" s="306"/>
      <c r="J715" s="307"/>
      <c r="K715" s="391"/>
      <c r="L715" s="214"/>
    </row>
    <row r="716" spans="2:13" ht="18.75" thickBot="1" x14ac:dyDescent="0.3">
      <c r="B716" s="340"/>
      <c r="C716" s="258"/>
      <c r="D716" s="258" t="s">
        <v>157</v>
      </c>
      <c r="E716" s="308">
        <f>E566+E515+E189+E150+E130+E3+E709</f>
        <v>973593066</v>
      </c>
      <c r="F716" s="308">
        <f>F566+F515+F189+F150+F130+F3+F709</f>
        <v>241428242</v>
      </c>
      <c r="G716" s="308">
        <f>G566+G515+G189+G150+G130+G3</f>
        <v>104380086</v>
      </c>
      <c r="H716" s="308">
        <f>H566+H515+H189+H150+H130+H3</f>
        <v>104380086</v>
      </c>
      <c r="I716" s="308">
        <f>E716+F716</f>
        <v>1215021308</v>
      </c>
      <c r="J716" s="308">
        <f>J709+J700+J663+J648+J632+J616+J600+J584+J580+J567+J559+J541+J526+J516+J497+J493+J491+J486+J480+J473+J463+J454+J450+J439+J414+J377+J361+J341+J212+J190+J179+J162+J151+J131+J122+J106+J88+J80+J64+J45+J29+J4+J683</f>
        <v>1214297408</v>
      </c>
      <c r="K716" s="392">
        <f>I716-J716</f>
        <v>723900</v>
      </c>
      <c r="L716" s="214"/>
      <c r="M716" s="301"/>
    </row>
    <row r="718" spans="2:13" x14ac:dyDescent="0.2">
      <c r="G718" s="301">
        <f>G716-H716</f>
        <v>0</v>
      </c>
      <c r="J718" s="116"/>
      <c r="K718" s="116"/>
    </row>
    <row r="719" spans="2:13" x14ac:dyDescent="0.2">
      <c r="I719" s="116"/>
      <c r="J719" s="301"/>
    </row>
    <row r="720" spans="2:13" x14ac:dyDescent="0.2">
      <c r="J720" s="301"/>
    </row>
    <row r="721" spans="9:9" x14ac:dyDescent="0.2">
      <c r="I721" s="116"/>
    </row>
    <row r="724" spans="9:9" x14ac:dyDescent="0.2">
      <c r="I724" s="116"/>
    </row>
  </sheetData>
  <autoFilter ref="A1:M1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abSelected="1" zoomScale="70" zoomScaleNormal="70" zoomScaleSheetLayoutView="80" workbookViewId="0">
      <pane xSplit="2" ySplit="7" topLeftCell="C8" activePane="bottomRight" state="frozen"/>
      <selection activeCell="J59" sqref="J59"/>
      <selection pane="topRight" activeCell="J59" sqref="J59"/>
      <selection pane="bottomLeft" activeCell="J59" sqref="J59"/>
      <selection pane="bottomRight" activeCell="L71" sqref="L7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7.625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294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</v>
      </c>
      <c r="D8" s="65">
        <f t="shared" si="0"/>
        <v>0</v>
      </c>
      <c r="E8" s="65">
        <f t="shared" si="0"/>
        <v>31428242</v>
      </c>
      <c r="F8" s="65">
        <f t="shared" si="0"/>
        <v>203217</v>
      </c>
      <c r="G8" s="65">
        <f t="shared" si="0"/>
        <v>54056882</v>
      </c>
      <c r="H8" s="65">
        <f t="shared" si="0"/>
        <v>635469403</v>
      </c>
      <c r="I8" s="65">
        <f>I9+I10+I11+I12+I13+I14+I15+I17+I19</f>
        <v>529025542</v>
      </c>
      <c r="J8" s="65">
        <f>SUM(J9:J19)</f>
        <v>106443861</v>
      </c>
      <c r="K8" s="66">
        <f>L8/H8</f>
        <v>1</v>
      </c>
      <c r="L8" s="67">
        <f>I8+J8</f>
        <v>635469403</v>
      </c>
      <c r="M8" s="65">
        <f>SUM(M9:M19)</f>
        <v>0</v>
      </c>
      <c r="N8" s="68">
        <f>M8/H8</f>
        <v>0</v>
      </c>
    </row>
    <row r="9" spans="1:14" ht="15" x14ac:dyDescent="0.25">
      <c r="A9" s="18" t="s">
        <v>22</v>
      </c>
      <c r="B9" s="19" t="s">
        <v>23</v>
      </c>
      <c r="C9" s="215">
        <f>ROUND(510496564.207404,0)</f>
        <v>510496564</v>
      </c>
      <c r="D9" s="311"/>
      <c r="E9" s="22">
        <v>27610765</v>
      </c>
      <c r="F9" s="34"/>
      <c r="G9" s="60">
        <f>28650007+'LIBRO DE PRESUPUESTO'!H9+'LIBRO DE PRESUPUESTO'!H17+'LIBRO DE PRESUPUESTO'!H20+'LIBRO DE PRESUPUESTO'!H22</f>
        <v>49489660</v>
      </c>
      <c r="H9" s="20">
        <f>C9-D9+E9+F9-G9</f>
        <v>488617669</v>
      </c>
      <c r="I9" s="21">
        <f>NOVIEMBRE!I9+NOVIEMBRE!J9</f>
        <v>449886030</v>
      </c>
      <c r="J9" s="41">
        <f>'LIBRO DE PRESUPUESTO'!J23</f>
        <v>38731639</v>
      </c>
      <c r="K9" s="15">
        <f>L9/H9</f>
        <v>1</v>
      </c>
      <c r="L9" s="23">
        <f t="shared" ref="L9:L15" si="1">J9+I9</f>
        <v>488617669</v>
      </c>
      <c r="M9" s="24">
        <f t="shared" ref="M9:M71" si="2">H9-L9</f>
        <v>0</v>
      </c>
      <c r="N9" s="17">
        <f>M9/H9</f>
        <v>0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3">C10-D10+E10+F10-G10</f>
        <v>0</v>
      </c>
      <c r="I10" s="21">
        <f>NOVIEMBRE!I10+NOVIEMBRE!J10</f>
        <v>0</v>
      </c>
      <c r="J10" s="21"/>
      <c r="K10" s="15">
        <v>0</v>
      </c>
      <c r="L10" s="23">
        <f t="shared" si="1"/>
        <v>0</v>
      </c>
      <c r="M10" s="24">
        <f t="shared" si="2"/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</v>
      </c>
      <c r="D11" s="311"/>
      <c r="E11" s="22"/>
      <c r="F11" s="34"/>
      <c r="G11" s="61">
        <f>'LIBRO DE PRESUPUESTO'!H42</f>
        <v>48366</v>
      </c>
      <c r="H11" s="20">
        <f t="shared" si="3"/>
        <v>1029128</v>
      </c>
      <c r="I11" s="21">
        <f>NOVIEMBRE!I11+NOVIEMBRE!J11</f>
        <v>940917</v>
      </c>
      <c r="J11" s="21">
        <f>'LIBRO DE PRESUPUESTO'!J43</f>
        <v>88211</v>
      </c>
      <c r="K11" s="15">
        <f>L11/H11</f>
        <v>1</v>
      </c>
      <c r="L11" s="23">
        <f t="shared" si="1"/>
        <v>1029128</v>
      </c>
      <c r="M11" s="24">
        <f t="shared" si="2"/>
        <v>0</v>
      </c>
      <c r="N11" s="17">
        <f t="shared" ref="N11:N22" si="4">M11/H11</f>
        <v>0</v>
      </c>
    </row>
    <row r="12" spans="1:14" ht="15.75" customHeight="1" x14ac:dyDescent="0.25">
      <c r="A12" s="18">
        <v>2020110104</v>
      </c>
      <c r="B12" s="19" t="s">
        <v>29</v>
      </c>
      <c r="C12" s="215">
        <v>1484050</v>
      </c>
      <c r="D12" s="311"/>
      <c r="E12" s="22"/>
      <c r="F12" s="34"/>
      <c r="G12" s="61">
        <f>'LIBRO DE PRESUPUESTO'!H57+'LIBRO DE PRESUPUESTO'!H60</f>
        <v>693818</v>
      </c>
      <c r="H12" s="20">
        <f t="shared" si="3"/>
        <v>790232</v>
      </c>
      <c r="I12" s="21">
        <f>NOVIEMBRE!I12+NOVIEMBRE!J12</f>
        <v>730062</v>
      </c>
      <c r="J12" s="21">
        <f>'LIBRO DE PRESUPUESTO'!J61</f>
        <v>60170</v>
      </c>
      <c r="K12" s="15">
        <f t="shared" ref="K12:K52" si="5">L12/H12</f>
        <v>1</v>
      </c>
      <c r="L12" s="23">
        <f t="shared" si="1"/>
        <v>790232</v>
      </c>
      <c r="M12" s="24">
        <f t="shared" si="2"/>
        <v>0</v>
      </c>
      <c r="N12" s="17">
        <f t="shared" si="4"/>
        <v>0</v>
      </c>
    </row>
    <row r="13" spans="1:14" ht="15" x14ac:dyDescent="0.25">
      <c r="A13" s="18" t="s">
        <v>30</v>
      </c>
      <c r="B13" s="19" t="s">
        <v>31</v>
      </c>
      <c r="C13" s="215">
        <v>15036740</v>
      </c>
      <c r="D13" s="311"/>
      <c r="E13" s="22"/>
      <c r="F13" s="34">
        <f>'LIBRO DE PRESUPUESTO'!G77</f>
        <v>203217</v>
      </c>
      <c r="G13" s="61"/>
      <c r="H13" s="20">
        <f t="shared" si="3"/>
        <v>15239957</v>
      </c>
      <c r="I13" s="21">
        <f>NOVIEMBRE!I13+NOVIEMBRE!J13</f>
        <v>15239957</v>
      </c>
      <c r="J13" s="41"/>
      <c r="K13" s="15">
        <f t="shared" si="5"/>
        <v>1</v>
      </c>
      <c r="L13" s="23">
        <f t="shared" si="1"/>
        <v>15239957</v>
      </c>
      <c r="M13" s="24">
        <f t="shared" si="2"/>
        <v>0</v>
      </c>
      <c r="N13" s="17">
        <f t="shared" si="4"/>
        <v>0</v>
      </c>
    </row>
    <row r="14" spans="1:14" ht="15" x14ac:dyDescent="0.25">
      <c r="A14" s="18" t="s">
        <v>32</v>
      </c>
      <c r="B14" s="19" t="s">
        <v>33</v>
      </c>
      <c r="C14" s="215">
        <v>22003952</v>
      </c>
      <c r="D14" s="311"/>
      <c r="E14" s="22"/>
      <c r="F14" s="34"/>
      <c r="G14" s="61">
        <f>'LIBRO DE PRESUPUESTO'!H83</f>
        <v>490742</v>
      </c>
      <c r="H14" s="20">
        <f t="shared" si="3"/>
        <v>21513210</v>
      </c>
      <c r="I14" s="21">
        <f>NOVIEMBRE!I14+NOVIEMBRE!J14</f>
        <v>21513210</v>
      </c>
      <c r="J14" s="41"/>
      <c r="K14" s="15">
        <f t="shared" si="5"/>
        <v>1</v>
      </c>
      <c r="L14" s="23">
        <f t="shared" si="1"/>
        <v>21513210</v>
      </c>
      <c r="M14" s="24">
        <f t="shared" si="2"/>
        <v>0</v>
      </c>
      <c r="N14" s="17">
        <f t="shared" si="4"/>
        <v>0</v>
      </c>
    </row>
    <row r="15" spans="1:14" ht="15" x14ac:dyDescent="0.25">
      <c r="A15" s="18" t="s">
        <v>34</v>
      </c>
      <c r="B15" s="19" t="s">
        <v>35</v>
      </c>
      <c r="C15" s="215">
        <v>22920783</v>
      </c>
      <c r="D15" s="311"/>
      <c r="E15" s="22"/>
      <c r="F15" s="34"/>
      <c r="G15" s="61">
        <v>94277</v>
      </c>
      <c r="H15" s="20">
        <f t="shared" si="3"/>
        <v>22826506</v>
      </c>
      <c r="I15" s="21">
        <f>NOVIEMBRE!I15+NOVIEMBRE!J15</f>
        <v>16373166</v>
      </c>
      <c r="J15" s="41">
        <f>SUM('LIBRO DE PRESUPUESTO'!J100:J103)</f>
        <v>6453340</v>
      </c>
      <c r="K15" s="15">
        <f t="shared" si="5"/>
        <v>1</v>
      </c>
      <c r="L15" s="23">
        <f t="shared" si="1"/>
        <v>22826506</v>
      </c>
      <c r="M15" s="24">
        <f t="shared" si="2"/>
        <v>0</v>
      </c>
      <c r="N15" s="17">
        <f t="shared" si="4"/>
        <v>0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>
        <v>1000000</v>
      </c>
      <c r="H16" s="20">
        <f t="shared" si="3"/>
        <v>0</v>
      </c>
      <c r="I16" s="21">
        <f>NOVIEMBRE!I16+NOVIEMBRE!J16</f>
        <v>0</v>
      </c>
      <c r="J16" s="41"/>
      <c r="K16" s="15">
        <v>0</v>
      </c>
      <c r="L16" s="23"/>
      <c r="M16" s="24">
        <f t="shared" si="2"/>
        <v>0</v>
      </c>
      <c r="N16" s="17">
        <v>0</v>
      </c>
    </row>
    <row r="17" spans="1:14" ht="15" x14ac:dyDescent="0.25">
      <c r="A17" s="26">
        <v>2020110109</v>
      </c>
      <c r="B17" s="19" t="s">
        <v>36</v>
      </c>
      <c r="C17" s="215">
        <v>37123611</v>
      </c>
      <c r="D17" s="311"/>
      <c r="E17" s="22"/>
      <c r="F17" s="34"/>
      <c r="G17" s="61"/>
      <c r="H17" s="20">
        <f t="shared" si="3"/>
        <v>37123611</v>
      </c>
      <c r="I17" s="21">
        <f>NOVIEMBRE!I17+NOVIEMBRE!J17</f>
        <v>23058487</v>
      </c>
      <c r="J17" s="41">
        <f>'LIBRO DE PRESUPUESTO'!J115+'LIBRO DE PRESUPUESTO'!J117+'LIBRO DE PRESUPUESTO'!J118+'LIBRO DE PRESUPUESTO'!J119+'LIBRO DE PRESUPUESTO'!J120-1666794</f>
        <v>14065124</v>
      </c>
      <c r="K17" s="15">
        <f t="shared" si="5"/>
        <v>1</v>
      </c>
      <c r="L17" s="23">
        <f>J17+I17</f>
        <v>37123611</v>
      </c>
      <c r="M17" s="24">
        <f t="shared" si="2"/>
        <v>0</v>
      </c>
      <c r="N17" s="17">
        <f t="shared" si="4"/>
        <v>0</v>
      </c>
    </row>
    <row r="18" spans="1:14" ht="15" x14ac:dyDescent="0.25">
      <c r="A18" s="400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>
        <f>'LIBRO DE PRESUPUESTO'!H116</f>
        <v>1150683</v>
      </c>
      <c r="H18" s="20">
        <f t="shared" si="3"/>
        <v>1666794</v>
      </c>
      <c r="I18" s="21">
        <f>NOVIEMBRE!I18+NOVIEMBRE!J18</f>
        <v>0</v>
      </c>
      <c r="J18" s="41">
        <v>1666794</v>
      </c>
      <c r="K18" s="15">
        <f t="shared" si="5"/>
        <v>1</v>
      </c>
      <c r="L18" s="23">
        <f>J18+I18</f>
        <v>1666794</v>
      </c>
      <c r="M18" s="24">
        <f t="shared" si="2"/>
        <v>0</v>
      </c>
      <c r="N18" s="17">
        <f t="shared" si="4"/>
        <v>0</v>
      </c>
    </row>
    <row r="19" spans="1:14" ht="15" x14ac:dyDescent="0.25">
      <c r="A19" s="26">
        <v>2020110108</v>
      </c>
      <c r="B19" s="19" t="s">
        <v>37</v>
      </c>
      <c r="C19" s="215">
        <v>47751632</v>
      </c>
      <c r="D19" s="311"/>
      <c r="E19" s="22"/>
      <c r="F19" s="34"/>
      <c r="G19" s="61">
        <f>'LIBRO DE PRESUPUESTO'!H125</f>
        <v>1089336</v>
      </c>
      <c r="H19" s="20">
        <f t="shared" si="3"/>
        <v>46662296</v>
      </c>
      <c r="I19" s="21">
        <f>NOVIEMBRE!I19+NOVIEMBRE!J19</f>
        <v>1283713</v>
      </c>
      <c r="J19" s="41">
        <f>'LIBRO DE PRESUPUESTO'!J124</f>
        <v>45378583</v>
      </c>
      <c r="K19" s="15">
        <f t="shared" si="5"/>
        <v>1</v>
      </c>
      <c r="L19" s="23">
        <f t="shared" ref="L19:L31" si="6">J19+I19</f>
        <v>46662296</v>
      </c>
      <c r="M19" s="24">
        <f t="shared" si="2"/>
        <v>0</v>
      </c>
      <c r="N19" s="17">
        <f t="shared" si="4"/>
        <v>0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14215400</v>
      </c>
      <c r="H20" s="65">
        <f t="shared" si="7"/>
        <v>46284600</v>
      </c>
      <c r="I20" s="65">
        <f t="shared" si="7"/>
        <v>44332100</v>
      </c>
      <c r="J20" s="65">
        <f>SUM(J21:J24)</f>
        <v>1952500</v>
      </c>
      <c r="K20" s="66">
        <f>L20/H20</f>
        <v>1</v>
      </c>
      <c r="L20" s="72">
        <f t="shared" si="6"/>
        <v>46284600</v>
      </c>
      <c r="M20" s="72">
        <f>SUM(M21:M24)</f>
        <v>0</v>
      </c>
      <c r="N20" s="68">
        <f t="shared" si="4"/>
        <v>0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3"/>
        <v>40500000</v>
      </c>
      <c r="I21" s="21">
        <f>NOVIEMBRE!I21+NOVIEMBRE!J21</f>
        <v>40500000</v>
      </c>
      <c r="J21" s="21"/>
      <c r="K21" s="15">
        <f t="shared" si="5"/>
        <v>1</v>
      </c>
      <c r="L21" s="23">
        <f t="shared" si="6"/>
        <v>40500000</v>
      </c>
      <c r="M21" s="24">
        <f t="shared" si="2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>
        <f>'LIBRO DE PRESUPUESTO'!H140+'LIBRO DE PRESUPUESTO'!H141+'LIBRO DE PRESUPUESTO'!H142</f>
        <v>14215400</v>
      </c>
      <c r="H22" s="20">
        <f t="shared" si="3"/>
        <v>5784600</v>
      </c>
      <c r="I22" s="21">
        <f>NOVIEMBRE!I22+NOVIEMBRE!J22</f>
        <v>3832100</v>
      </c>
      <c r="J22" s="21">
        <f>'LIBRO DE PRESUPUESTO'!J144</f>
        <v>1952500</v>
      </c>
      <c r="K22" s="15">
        <v>0</v>
      </c>
      <c r="L22" s="23">
        <f t="shared" si="6"/>
        <v>5784600</v>
      </c>
      <c r="M22" s="24">
        <f t="shared" si="2"/>
        <v>0</v>
      </c>
      <c r="N22" s="17">
        <f t="shared" si="4"/>
        <v>0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3"/>
        <v>0</v>
      </c>
      <c r="I23" s="21">
        <f>NOVIEMBRE!I23+NOVIEMBRE!J23</f>
        <v>0</v>
      </c>
      <c r="J23" s="21"/>
      <c r="K23" s="15">
        <v>0</v>
      </c>
      <c r="L23" s="23">
        <f t="shared" si="6"/>
        <v>0</v>
      </c>
      <c r="M23" s="24">
        <f t="shared" si="2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3"/>
        <v>0</v>
      </c>
      <c r="I24" s="21">
        <f>NOVIEMBRE!I24+NOVIEMBRE!J24</f>
        <v>0</v>
      </c>
      <c r="J24" s="25">
        <v>0</v>
      </c>
      <c r="K24" s="15">
        <v>0</v>
      </c>
      <c r="L24" s="23">
        <f t="shared" si="6"/>
        <v>0</v>
      </c>
      <c r="M24" s="24">
        <f t="shared" si="2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SUM(C26:C31)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17109600</v>
      </c>
      <c r="G25" s="65">
        <f t="shared" si="8"/>
        <v>6140000</v>
      </c>
      <c r="H25" s="65">
        <f t="shared" si="8"/>
        <v>50169600</v>
      </c>
      <c r="I25" s="65">
        <f t="shared" si="8"/>
        <v>32909600</v>
      </c>
      <c r="J25" s="65">
        <f t="shared" si="8"/>
        <v>17260000</v>
      </c>
      <c r="K25" s="66">
        <f>L25/H25</f>
        <v>1</v>
      </c>
      <c r="L25" s="72">
        <f>J25+I25</f>
        <v>50169600</v>
      </c>
      <c r="M25" s="65">
        <f>SUM(M26:M31)</f>
        <v>0</v>
      </c>
      <c r="N25" s="68">
        <f>M25/H25</f>
        <v>0</v>
      </c>
    </row>
    <row r="26" spans="1:14" ht="15" x14ac:dyDescent="0.25">
      <c r="A26" s="18">
        <v>2020120101</v>
      </c>
      <c r="B26" s="31" t="s">
        <v>49</v>
      </c>
      <c r="C26" s="193">
        <v>3000000</v>
      </c>
      <c r="D26" s="21"/>
      <c r="E26" s="22"/>
      <c r="F26" s="34">
        <v>6400000</v>
      </c>
      <c r="G26" s="61">
        <f>3000000+140000</f>
        <v>3140000</v>
      </c>
      <c r="H26" s="20">
        <f t="shared" ref="H26:H31" si="9">C26-D26+E26+F26-G26</f>
        <v>6260000</v>
      </c>
      <c r="I26" s="21">
        <f>NOVIEMBRE!I26+NOVIEMBRE!J26</f>
        <v>0</v>
      </c>
      <c r="J26" s="25">
        <v>6260000</v>
      </c>
      <c r="K26" s="15">
        <v>0</v>
      </c>
      <c r="L26" s="16">
        <f t="shared" si="6"/>
        <v>6260000</v>
      </c>
      <c r="M26" s="24">
        <f t="shared" si="2"/>
        <v>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>
        <f>3000000</f>
        <v>3000000</v>
      </c>
      <c r="H27" s="20">
        <f t="shared" si="9"/>
        <v>0</v>
      </c>
      <c r="I27" s="21">
        <f>NOVIEMBRE!I27+NOVIEMBRE!J27</f>
        <v>0</v>
      </c>
      <c r="J27" s="25">
        <v>0</v>
      </c>
      <c r="K27" s="15">
        <v>0</v>
      </c>
      <c r="L27" s="16">
        <f t="shared" si="6"/>
        <v>0</v>
      </c>
      <c r="M27" s="24">
        <f t="shared" si="2"/>
        <v>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PRESUPUESTO'!G173</f>
        <v>1000000</v>
      </c>
      <c r="G28" s="61"/>
      <c r="H28" s="20">
        <f t="shared" si="9"/>
        <v>33000000</v>
      </c>
      <c r="I28" s="21">
        <f>NOVIEMBRE!I28+NOVIEMBRE!J28</f>
        <v>32909600</v>
      </c>
      <c r="J28" s="21">
        <v>90400</v>
      </c>
      <c r="K28" s="15">
        <f t="shared" si="5"/>
        <v>1</v>
      </c>
      <c r="L28" s="23">
        <f t="shared" si="6"/>
        <v>33000000</v>
      </c>
      <c r="M28" s="24">
        <f t="shared" si="2"/>
        <v>0</v>
      </c>
      <c r="N28" s="33">
        <f>M28/H28</f>
        <v>0</v>
      </c>
    </row>
    <row r="29" spans="1:14" ht="15" x14ac:dyDescent="0.25">
      <c r="A29" s="18">
        <v>45</v>
      </c>
      <c r="B29" s="32" t="s">
        <v>51</v>
      </c>
      <c r="C29" s="193"/>
      <c r="D29" s="21"/>
      <c r="E29" s="22"/>
      <c r="F29" s="34">
        <f>'LIBRO DE PRESUPUESTO'!G175</f>
        <v>8159600</v>
      </c>
      <c r="G29" s="61"/>
      <c r="H29" s="20">
        <f t="shared" si="9"/>
        <v>8159600</v>
      </c>
      <c r="I29" s="21">
        <v>0</v>
      </c>
      <c r="J29" s="21">
        <f>'LIBRO DE PRESUPUESTO'!J176+'LIBRO DE PRESUPUESTO'!J177-90400</f>
        <v>8159600</v>
      </c>
      <c r="K29" s="15"/>
      <c r="L29" s="23">
        <f t="shared" si="6"/>
        <v>8159600</v>
      </c>
      <c r="M29" s="24">
        <f t="shared" si="2"/>
        <v>0</v>
      </c>
      <c r="N29" s="33"/>
    </row>
    <row r="30" spans="1:14" ht="15" x14ac:dyDescent="0.25">
      <c r="A30" s="18" t="s">
        <v>52</v>
      </c>
      <c r="B30" s="31" t="s">
        <v>53</v>
      </c>
      <c r="C30" s="193">
        <v>1200000</v>
      </c>
      <c r="D30" s="21"/>
      <c r="E30" s="22"/>
      <c r="F30" s="34">
        <f>'LIBRO DE PRESUPUESTO'!G180</f>
        <v>1550000</v>
      </c>
      <c r="G30" s="62"/>
      <c r="H30" s="20">
        <f t="shared" si="9"/>
        <v>2750000</v>
      </c>
      <c r="I30" s="21">
        <f>NOVIEMBRE!I29+NOVIEMBRE!J29</f>
        <v>0</v>
      </c>
      <c r="J30" s="21">
        <f>'LIBRO DE PRESUPUESTO'!J181</f>
        <v>2750000</v>
      </c>
      <c r="K30" s="15">
        <f t="shared" si="5"/>
        <v>1</v>
      </c>
      <c r="L30" s="16">
        <f t="shared" si="6"/>
        <v>2750000</v>
      </c>
      <c r="M30" s="24">
        <f t="shared" si="2"/>
        <v>0</v>
      </c>
      <c r="N30" s="33">
        <f>M30/H30</f>
        <v>0</v>
      </c>
    </row>
    <row r="31" spans="1:14" ht="15" x14ac:dyDescent="0.25">
      <c r="A31" s="18" t="s">
        <v>54</v>
      </c>
      <c r="B31" s="31" t="s">
        <v>55</v>
      </c>
      <c r="C31" s="193">
        <v>0</v>
      </c>
      <c r="D31" s="21"/>
      <c r="E31" s="22"/>
      <c r="F31" s="34"/>
      <c r="G31" s="61"/>
      <c r="H31" s="20">
        <f t="shared" si="9"/>
        <v>0</v>
      </c>
      <c r="I31" s="21">
        <f>NOVIEMBRE!I30+NOVIEMBRE!J30</f>
        <v>0</v>
      </c>
      <c r="J31" s="21"/>
      <c r="K31" s="15">
        <v>0</v>
      </c>
      <c r="L31" s="16">
        <f t="shared" si="6"/>
        <v>0</v>
      </c>
      <c r="M31" s="24">
        <f t="shared" si="2"/>
        <v>0</v>
      </c>
      <c r="N31" s="33">
        <v>0</v>
      </c>
    </row>
    <row r="32" spans="1:14" s="69" customFormat="1" ht="27.75" customHeight="1" x14ac:dyDescent="0.2">
      <c r="A32" s="63" t="s">
        <v>56</v>
      </c>
      <c r="B32" s="64" t="s">
        <v>57</v>
      </c>
      <c r="C32" s="65">
        <f t="shared" ref="C32:J32" si="10">SUM(C33:C50)</f>
        <v>75448328</v>
      </c>
      <c r="D32" s="65">
        <f t="shared" si="10"/>
        <v>0</v>
      </c>
      <c r="E32" s="65">
        <f t="shared" si="10"/>
        <v>122000000</v>
      </c>
      <c r="F32" s="65">
        <f>SUM(F33:F50)</f>
        <v>42985056</v>
      </c>
      <c r="G32" s="65">
        <f t="shared" si="10"/>
        <v>16334340</v>
      </c>
      <c r="H32" s="65">
        <f t="shared" si="10"/>
        <v>224099044</v>
      </c>
      <c r="I32" s="65">
        <f t="shared" si="10"/>
        <v>211269390</v>
      </c>
      <c r="J32" s="65">
        <f t="shared" si="10"/>
        <v>12829654</v>
      </c>
      <c r="K32" s="66">
        <f>L32/H32</f>
        <v>1</v>
      </c>
      <c r="L32" s="67">
        <f>I32+J32</f>
        <v>224099044</v>
      </c>
      <c r="M32" s="72">
        <f>SUM(M33:M50)</f>
        <v>0</v>
      </c>
      <c r="N32" s="68">
        <f t="shared" ref="N32:N39" si="11">M32/H32</f>
        <v>0</v>
      </c>
    </row>
    <row r="33" spans="1:14" ht="15" x14ac:dyDescent="0.25">
      <c r="A33" s="18" t="s">
        <v>58</v>
      </c>
      <c r="B33" s="31" t="s">
        <v>59</v>
      </c>
      <c r="C33" s="425">
        <v>180000</v>
      </c>
      <c r="D33" s="21"/>
      <c r="E33" s="22">
        <f>16000000</f>
        <v>16000000</v>
      </c>
      <c r="F33" s="34"/>
      <c r="G33" s="61"/>
      <c r="H33" s="20">
        <f t="shared" ref="H33:H50" si="12">C33-D33+E33+F33-G33</f>
        <v>16180000</v>
      </c>
      <c r="I33" s="21">
        <f>NOVIEMBRE!I32+NOVIEMBRE!J32</f>
        <v>16180000</v>
      </c>
      <c r="J33" s="21"/>
      <c r="K33" s="15">
        <f t="shared" si="5"/>
        <v>1</v>
      </c>
      <c r="L33" s="23">
        <f t="shared" ref="L33:L52" si="13">J33+I33</f>
        <v>16180000</v>
      </c>
      <c r="M33" s="24">
        <f t="shared" si="2"/>
        <v>0</v>
      </c>
      <c r="N33" s="33">
        <f t="shared" si="11"/>
        <v>0</v>
      </c>
    </row>
    <row r="34" spans="1:14" ht="15" x14ac:dyDescent="0.25">
      <c r="A34" s="18">
        <v>45</v>
      </c>
      <c r="B34" s="31" t="s">
        <v>59</v>
      </c>
      <c r="C34" s="425">
        <v>0</v>
      </c>
      <c r="D34" s="21"/>
      <c r="E34" s="22">
        <v>15000000</v>
      </c>
      <c r="F34" s="34"/>
      <c r="G34" s="61">
        <f>'LIBRO DE PRESUPUESTO'!H201</f>
        <v>5471100</v>
      </c>
      <c r="H34" s="20">
        <f t="shared" si="12"/>
        <v>9528900</v>
      </c>
      <c r="I34" s="21">
        <f>NOVIEMBRE!I33+NOVIEMBRE!J33</f>
        <v>6220900</v>
      </c>
      <c r="J34" s="21">
        <f>'LIBRO DE PRESUPUESTO'!J200+'LIBRO DE PRESUPUESTO'!J202+'LIBRO DE PRESUPUESTO'!J203</f>
        <v>3308000</v>
      </c>
      <c r="K34" s="15">
        <f t="shared" si="5"/>
        <v>1</v>
      </c>
      <c r="L34" s="23">
        <f t="shared" si="13"/>
        <v>9528900</v>
      </c>
      <c r="M34" s="24">
        <f t="shared" si="2"/>
        <v>0</v>
      </c>
      <c r="N34" s="33">
        <f t="shared" si="11"/>
        <v>0</v>
      </c>
    </row>
    <row r="35" spans="1:14" ht="15" x14ac:dyDescent="0.25">
      <c r="A35" s="18" t="s">
        <v>60</v>
      </c>
      <c r="B35" s="31" t="s">
        <v>61</v>
      </c>
      <c r="C35" s="425">
        <v>39298328</v>
      </c>
      <c r="D35" s="21"/>
      <c r="E35" s="22"/>
      <c r="F35" s="34">
        <f>'LIBRO DE PRESUPUESTO'!G299+'LIBRO DE PRESUPUESTO'!G330</f>
        <v>19513080</v>
      </c>
      <c r="G35" s="61"/>
      <c r="H35" s="20">
        <f t="shared" si="12"/>
        <v>58811408</v>
      </c>
      <c r="I35" s="21">
        <f>NOVIEMBRE!I34+NOVIEMBRE!J34</f>
        <v>54298328</v>
      </c>
      <c r="J35" s="21">
        <v>4513080</v>
      </c>
      <c r="K35" s="15">
        <f t="shared" si="5"/>
        <v>1</v>
      </c>
      <c r="L35" s="23">
        <f t="shared" si="13"/>
        <v>58811408</v>
      </c>
      <c r="M35" s="24">
        <f t="shared" si="2"/>
        <v>0</v>
      </c>
      <c r="N35" s="33">
        <f t="shared" si="11"/>
        <v>0</v>
      </c>
    </row>
    <row r="36" spans="1:14" ht="15" x14ac:dyDescent="0.25">
      <c r="A36" s="18">
        <v>45</v>
      </c>
      <c r="B36" s="31" t="s">
        <v>61</v>
      </c>
      <c r="C36" s="425"/>
      <c r="D36" s="21"/>
      <c r="E36" s="22">
        <v>50000000</v>
      </c>
      <c r="F36" s="34">
        <f>'LIBRO DE PRESUPUESTO'!G311++'LIBRO DE PRESUPUESTO'!G327</f>
        <v>14500000</v>
      </c>
      <c r="G36" s="61"/>
      <c r="H36" s="20">
        <f t="shared" si="12"/>
        <v>64500000</v>
      </c>
      <c r="I36" s="21">
        <f>NOVIEMBRE!I35+NOVIEMBRE!J35</f>
        <v>61997580</v>
      </c>
      <c r="J36" s="21">
        <v>2502420</v>
      </c>
      <c r="K36" s="15">
        <f t="shared" si="5"/>
        <v>1</v>
      </c>
      <c r="L36" s="23">
        <f t="shared" si="13"/>
        <v>64500000</v>
      </c>
      <c r="M36" s="24">
        <f t="shared" si="2"/>
        <v>0</v>
      </c>
      <c r="N36" s="33">
        <f t="shared" si="11"/>
        <v>0</v>
      </c>
    </row>
    <row r="37" spans="1:14" ht="15" x14ac:dyDescent="0.25">
      <c r="A37" s="18" t="s">
        <v>62</v>
      </c>
      <c r="B37" s="31" t="s">
        <v>63</v>
      </c>
      <c r="C37" s="425">
        <v>1200000</v>
      </c>
      <c r="D37" s="21"/>
      <c r="E37" s="22"/>
      <c r="F37" s="34"/>
      <c r="G37" s="61">
        <v>460900</v>
      </c>
      <c r="H37" s="20">
        <f t="shared" si="12"/>
        <v>739100</v>
      </c>
      <c r="I37" s="21">
        <f>NOVIEMBRE!I36+NOVIEMBRE!J36</f>
        <v>739100</v>
      </c>
      <c r="J37" s="41"/>
      <c r="K37" s="15">
        <f t="shared" si="5"/>
        <v>1</v>
      </c>
      <c r="L37" s="23">
        <f t="shared" si="13"/>
        <v>739100</v>
      </c>
      <c r="M37" s="24">
        <f t="shared" si="2"/>
        <v>0</v>
      </c>
      <c r="N37" s="33">
        <f t="shared" si="11"/>
        <v>0</v>
      </c>
    </row>
    <row r="38" spans="1:14" ht="15" x14ac:dyDescent="0.25">
      <c r="A38" s="18" t="s">
        <v>64</v>
      </c>
      <c r="B38" s="31" t="s">
        <v>65</v>
      </c>
      <c r="C38" s="425">
        <f>900000*12</f>
        <v>10800000</v>
      </c>
      <c r="D38" s="21"/>
      <c r="E38" s="22"/>
      <c r="F38" s="34"/>
      <c r="G38" s="61">
        <f>'LIBRO DE PRESUPUESTO'!H374</f>
        <v>2862800</v>
      </c>
      <c r="H38" s="20">
        <f t="shared" si="12"/>
        <v>7937200</v>
      </c>
      <c r="I38" s="21">
        <f>NOVIEMBRE!I37+NOVIEMBRE!J37</f>
        <v>7147400</v>
      </c>
      <c r="J38" s="41">
        <f>'LIBRO DE PRESUPUESTO'!J375</f>
        <v>789800</v>
      </c>
      <c r="K38" s="15">
        <f t="shared" si="5"/>
        <v>1</v>
      </c>
      <c r="L38" s="23">
        <f t="shared" si="13"/>
        <v>7937200</v>
      </c>
      <c r="M38" s="24">
        <f t="shared" si="2"/>
        <v>0</v>
      </c>
      <c r="N38" s="17">
        <f t="shared" si="11"/>
        <v>0</v>
      </c>
    </row>
    <row r="39" spans="1:14" ht="15" x14ac:dyDescent="0.25">
      <c r="A39" s="18" t="s">
        <v>66</v>
      </c>
      <c r="B39" s="31" t="s">
        <v>67</v>
      </c>
      <c r="C39" s="425">
        <f>550000*12</f>
        <v>6600000</v>
      </c>
      <c r="D39" s="21"/>
      <c r="E39" s="22"/>
      <c r="F39" s="34"/>
      <c r="G39" s="61">
        <f>'LIBRO DE PRESUPUESTO'!H408</f>
        <v>1193066</v>
      </c>
      <c r="H39" s="20">
        <f t="shared" si="12"/>
        <v>5406934</v>
      </c>
      <c r="I39" s="21">
        <f>NOVIEMBRE!I38+NOVIEMBRE!J38</f>
        <v>5024870</v>
      </c>
      <c r="J39" s="41">
        <f>'LIBRO DE PRESUPUESTO'!J409+'LIBRO DE PRESUPUESTO'!J410</f>
        <v>382064</v>
      </c>
      <c r="K39" s="15">
        <f t="shared" si="5"/>
        <v>1</v>
      </c>
      <c r="L39" s="23">
        <f t="shared" si="13"/>
        <v>5406934</v>
      </c>
      <c r="M39" s="24">
        <f t="shared" si="2"/>
        <v>0</v>
      </c>
      <c r="N39" s="17">
        <f t="shared" si="11"/>
        <v>0</v>
      </c>
    </row>
    <row r="40" spans="1:14" ht="15" x14ac:dyDescent="0.25">
      <c r="A40" s="18" t="s">
        <v>68</v>
      </c>
      <c r="B40" s="31" t="s">
        <v>69</v>
      </c>
      <c r="C40" s="425">
        <f>160000*12</f>
        <v>1920000</v>
      </c>
      <c r="D40" s="21"/>
      <c r="E40" s="22"/>
      <c r="F40" s="34"/>
      <c r="G40" s="61">
        <f>'LIBRO DE PRESUPUESTO'!H435</f>
        <v>360740</v>
      </c>
      <c r="H40" s="20">
        <f t="shared" si="12"/>
        <v>1559260</v>
      </c>
      <c r="I40" s="21">
        <f>NOVIEMBRE!I39+NOVIEMBRE!J39</f>
        <v>1426970</v>
      </c>
      <c r="J40" s="25">
        <f>'LIBRO DE PRESUPUESTO'!J436+'LIBRO DE PRESUPUESTO'!J437</f>
        <v>132290</v>
      </c>
      <c r="K40" s="15">
        <f t="shared" si="5"/>
        <v>1</v>
      </c>
      <c r="L40" s="23">
        <f t="shared" si="13"/>
        <v>1559260</v>
      </c>
      <c r="M40" s="24">
        <f t="shared" si="2"/>
        <v>0</v>
      </c>
      <c r="N40" s="17">
        <v>0</v>
      </c>
    </row>
    <row r="41" spans="1:14" ht="15" x14ac:dyDescent="0.25">
      <c r="A41" s="18" t="s">
        <v>70</v>
      </c>
      <c r="B41" s="32" t="s">
        <v>71</v>
      </c>
      <c r="C41" s="425">
        <v>1500000</v>
      </c>
      <c r="D41" s="21"/>
      <c r="E41" s="22"/>
      <c r="F41" s="34"/>
      <c r="G41" s="61">
        <f>'LIBRO DE PRESUPUESTO'!H441</f>
        <v>1000000</v>
      </c>
      <c r="H41" s="20">
        <f t="shared" si="12"/>
        <v>500000</v>
      </c>
      <c r="I41" s="21">
        <f>NOVIEMBRE!I40+NOVIEMBRE!J40</f>
        <v>500000</v>
      </c>
      <c r="J41" s="21"/>
      <c r="K41" s="15">
        <f t="shared" si="5"/>
        <v>1</v>
      </c>
      <c r="L41" s="23">
        <f t="shared" si="13"/>
        <v>500000</v>
      </c>
      <c r="M41" s="24">
        <f t="shared" si="2"/>
        <v>0</v>
      </c>
      <c r="N41" s="17">
        <f>M41/H41</f>
        <v>0</v>
      </c>
    </row>
    <row r="42" spans="1:14" ht="15" x14ac:dyDescent="0.25">
      <c r="A42" s="18" t="s">
        <v>72</v>
      </c>
      <c r="B42" s="31" t="s">
        <v>73</v>
      </c>
      <c r="C42" s="425">
        <v>0</v>
      </c>
      <c r="D42" s="21"/>
      <c r="E42" s="22"/>
      <c r="F42" s="36"/>
      <c r="G42" s="61"/>
      <c r="H42" s="20">
        <f t="shared" si="12"/>
        <v>0</v>
      </c>
      <c r="I42" s="21">
        <f>NOVIEMBRE!I41+NOVIEMBRE!J41</f>
        <v>0</v>
      </c>
      <c r="J42" s="21"/>
      <c r="K42" s="15">
        <v>0</v>
      </c>
      <c r="L42" s="23">
        <f t="shared" si="13"/>
        <v>0</v>
      </c>
      <c r="M42" s="24">
        <f t="shared" si="2"/>
        <v>0</v>
      </c>
      <c r="N42" s="17">
        <v>0</v>
      </c>
    </row>
    <row r="43" spans="1:14" ht="15" x14ac:dyDescent="0.25">
      <c r="A43" s="18" t="s">
        <v>74</v>
      </c>
      <c r="B43" s="31" t="s">
        <v>75</v>
      </c>
      <c r="C43" s="425">
        <v>8000000</v>
      </c>
      <c r="D43" s="21"/>
      <c r="E43" s="22"/>
      <c r="F43" s="34">
        <f>'LIBRO DE PRESUPUESTO'!G456</f>
        <v>631976</v>
      </c>
      <c r="G43" s="61">
        <f>'LIBRO DE PRESUPUESTO'!H458</f>
        <v>845724</v>
      </c>
      <c r="H43" s="20">
        <f t="shared" si="12"/>
        <v>7786252</v>
      </c>
      <c r="I43" s="21">
        <f>NOVIEMBRE!I42+NOVIEMBRE!J42</f>
        <v>7786252</v>
      </c>
      <c r="J43" s="43"/>
      <c r="K43" s="15">
        <f t="shared" si="5"/>
        <v>1</v>
      </c>
      <c r="L43" s="23">
        <f t="shared" si="13"/>
        <v>7786252</v>
      </c>
      <c r="M43" s="24">
        <f t="shared" si="2"/>
        <v>0</v>
      </c>
      <c r="N43" s="17">
        <f>M43/H43</f>
        <v>0</v>
      </c>
    </row>
    <row r="44" spans="1:14" ht="15" x14ac:dyDescent="0.25">
      <c r="A44" s="18" t="s">
        <v>76</v>
      </c>
      <c r="B44" s="32" t="s">
        <v>77</v>
      </c>
      <c r="C44" s="425">
        <v>5000000</v>
      </c>
      <c r="D44" s="21"/>
      <c r="E44" s="22">
        <v>20000000</v>
      </c>
      <c r="F44" s="34"/>
      <c r="G44" s="61"/>
      <c r="H44" s="20">
        <f t="shared" si="12"/>
        <v>25000000</v>
      </c>
      <c r="I44" s="21">
        <f>NOVIEMBRE!I43+NOVIEMBRE!J43</f>
        <v>25000000</v>
      </c>
      <c r="J44" s="43"/>
      <c r="K44" s="15">
        <f t="shared" si="5"/>
        <v>1</v>
      </c>
      <c r="L44" s="23">
        <f t="shared" si="13"/>
        <v>25000000</v>
      </c>
      <c r="M44" s="24">
        <f t="shared" si="2"/>
        <v>0</v>
      </c>
      <c r="N44" s="17">
        <f>M44/H44</f>
        <v>0</v>
      </c>
    </row>
    <row r="45" spans="1:14" ht="15" x14ac:dyDescent="0.25">
      <c r="A45" s="18">
        <v>45</v>
      </c>
      <c r="B45" s="32" t="s">
        <v>77</v>
      </c>
      <c r="C45" s="425"/>
      <c r="D45" s="21"/>
      <c r="E45" s="22"/>
      <c r="F45" s="34">
        <v>2000000</v>
      </c>
      <c r="G45" s="61"/>
      <c r="H45" s="20">
        <f t="shared" si="12"/>
        <v>2000000</v>
      </c>
      <c r="I45" s="21">
        <f>NOVIEMBRE!I44+NOVIEMBRE!J44</f>
        <v>2000000</v>
      </c>
      <c r="J45" s="43"/>
      <c r="K45" s="15"/>
      <c r="L45" s="23">
        <f t="shared" si="13"/>
        <v>2000000</v>
      </c>
      <c r="M45" s="24">
        <f t="shared" si="2"/>
        <v>0</v>
      </c>
      <c r="N45" s="17"/>
    </row>
    <row r="46" spans="1:14" ht="15" x14ac:dyDescent="0.25">
      <c r="A46" s="18" t="s">
        <v>78</v>
      </c>
      <c r="B46" s="31" t="s">
        <v>79</v>
      </c>
      <c r="C46" s="425">
        <v>0</v>
      </c>
      <c r="D46" s="21"/>
      <c r="E46" s="22">
        <v>3000000</v>
      </c>
      <c r="F46" s="34"/>
      <c r="G46" s="61">
        <f>'LIBRO DE PRESUPUESTO'!H478</f>
        <v>953000</v>
      </c>
      <c r="H46" s="20">
        <f t="shared" si="12"/>
        <v>2047000</v>
      </c>
      <c r="I46" s="21">
        <f>NOVIEMBRE!I45+NOVIEMBRE!J45</f>
        <v>2047000</v>
      </c>
      <c r="J46" s="43"/>
      <c r="K46" s="15">
        <f t="shared" si="5"/>
        <v>1</v>
      </c>
      <c r="L46" s="23">
        <f t="shared" si="13"/>
        <v>2047000</v>
      </c>
      <c r="M46" s="24">
        <f t="shared" si="2"/>
        <v>0</v>
      </c>
      <c r="N46" s="17">
        <f>M46/H46</f>
        <v>0</v>
      </c>
    </row>
    <row r="47" spans="1:14" ht="15" x14ac:dyDescent="0.25">
      <c r="A47" s="18" t="s">
        <v>80</v>
      </c>
      <c r="B47" s="31" t="s">
        <v>81</v>
      </c>
      <c r="C47" s="425">
        <v>0</v>
      </c>
      <c r="D47" s="21"/>
      <c r="E47" s="22">
        <v>15000000</v>
      </c>
      <c r="F47" s="34">
        <f>'LIBRO DE PRESUPUESTO'!G482</f>
        <v>6000000</v>
      </c>
      <c r="G47" s="61">
        <f>'LIBRO DE PRESUPUESTO'!H484</f>
        <v>99010</v>
      </c>
      <c r="H47" s="20">
        <f t="shared" si="12"/>
        <v>20900990</v>
      </c>
      <c r="I47" s="21">
        <f>NOVIEMBRE!I46+NOVIEMBRE!J46</f>
        <v>20900990</v>
      </c>
      <c r="J47" s="21"/>
      <c r="K47" s="15">
        <f t="shared" si="5"/>
        <v>1</v>
      </c>
      <c r="L47" s="23">
        <f t="shared" si="13"/>
        <v>20900990</v>
      </c>
      <c r="M47" s="24">
        <f t="shared" si="2"/>
        <v>0</v>
      </c>
      <c r="N47" s="17">
        <f>M47/H47</f>
        <v>0</v>
      </c>
    </row>
    <row r="48" spans="1:14" ht="15" x14ac:dyDescent="0.25">
      <c r="A48" s="18">
        <v>2020120213</v>
      </c>
      <c r="B48" s="31" t="s">
        <v>83</v>
      </c>
      <c r="C48" s="425">
        <v>0</v>
      </c>
      <c r="D48" s="21"/>
      <c r="E48" s="22">
        <v>3000000</v>
      </c>
      <c r="F48" s="34"/>
      <c r="G48" s="61">
        <f>'LIBRO DE PRESUPUESTO'!H488</f>
        <v>3000000</v>
      </c>
      <c r="H48" s="20">
        <f t="shared" si="12"/>
        <v>0</v>
      </c>
      <c r="I48" s="21">
        <f>NOVIEMBRE!I47+NOVIEMBRE!J47</f>
        <v>0</v>
      </c>
      <c r="J48" s="21"/>
      <c r="K48" s="15">
        <v>0</v>
      </c>
      <c r="L48" s="23">
        <f t="shared" si="13"/>
        <v>0</v>
      </c>
      <c r="M48" s="24">
        <f t="shared" si="2"/>
        <v>0</v>
      </c>
      <c r="N48" s="17">
        <v>0</v>
      </c>
    </row>
    <row r="49" spans="1:16" ht="15" x14ac:dyDescent="0.25">
      <c r="A49" s="18" t="s">
        <v>84</v>
      </c>
      <c r="B49" s="31" t="s">
        <v>85</v>
      </c>
      <c r="C49" s="425">
        <v>0</v>
      </c>
      <c r="D49" s="21"/>
      <c r="E49" s="22"/>
      <c r="F49" s="34"/>
      <c r="G49" s="61"/>
      <c r="H49" s="20">
        <f t="shared" si="12"/>
        <v>0</v>
      </c>
      <c r="I49" s="21">
        <f>NOVIEMBRE!I48+NOVIEMBRE!J48</f>
        <v>0</v>
      </c>
      <c r="J49" s="21"/>
      <c r="K49" s="15">
        <v>0</v>
      </c>
      <c r="L49" s="23">
        <f t="shared" si="13"/>
        <v>0</v>
      </c>
      <c r="M49" s="24">
        <f t="shared" si="2"/>
        <v>0</v>
      </c>
      <c r="N49" s="17">
        <v>0</v>
      </c>
    </row>
    <row r="50" spans="1:16" ht="15" x14ac:dyDescent="0.25">
      <c r="A50" s="96">
        <v>2020120215</v>
      </c>
      <c r="B50" s="31" t="s">
        <v>118</v>
      </c>
      <c r="C50" s="425">
        <v>950000</v>
      </c>
      <c r="D50" s="21"/>
      <c r="E50" s="22"/>
      <c r="F50" s="34">
        <f>'LIBRO DE PRESUPUESTO'!G494</f>
        <v>340000</v>
      </c>
      <c r="G50" s="61">
        <v>88000</v>
      </c>
      <c r="H50" s="20">
        <f t="shared" si="12"/>
        <v>1202000</v>
      </c>
      <c r="I50" s="21">
        <f>NOVIEMBRE!I49+NOVIEMBRE!J49</f>
        <v>0</v>
      </c>
      <c r="J50" s="21">
        <f>'LIBRO DE PRESUPUESTO'!J495</f>
        <v>1202000</v>
      </c>
      <c r="K50" s="15">
        <f t="shared" si="5"/>
        <v>1</v>
      </c>
      <c r="L50" s="23">
        <f t="shared" si="13"/>
        <v>1202000</v>
      </c>
      <c r="M50" s="24">
        <f t="shared" si="2"/>
        <v>0</v>
      </c>
      <c r="N50" s="17">
        <f t="shared" ref="N50:N59" si="14">M50/H50</f>
        <v>0</v>
      </c>
    </row>
    <row r="51" spans="1:16" ht="15.75" x14ac:dyDescent="0.25">
      <c r="A51" s="63">
        <v>20201203</v>
      </c>
      <c r="B51" s="79" t="s">
        <v>190</v>
      </c>
      <c r="C51" s="296">
        <f t="shared" ref="C51:J51" si="15">C52</f>
        <v>0</v>
      </c>
      <c r="D51" s="296">
        <f t="shared" si="15"/>
        <v>0</v>
      </c>
      <c r="E51" s="296">
        <f t="shared" si="15"/>
        <v>0</v>
      </c>
      <c r="F51" s="296">
        <f t="shared" si="15"/>
        <v>1092063</v>
      </c>
      <c r="G51" s="296">
        <f t="shared" si="15"/>
        <v>0</v>
      </c>
      <c r="H51" s="296">
        <f t="shared" si="15"/>
        <v>1092063</v>
      </c>
      <c r="I51" s="297">
        <f t="shared" si="15"/>
        <v>879529</v>
      </c>
      <c r="J51" s="309">
        <f t="shared" si="15"/>
        <v>212534</v>
      </c>
      <c r="K51" s="15">
        <f t="shared" si="5"/>
        <v>1</v>
      </c>
      <c r="L51" s="63">
        <f t="shared" si="13"/>
        <v>1092063</v>
      </c>
      <c r="M51" s="299">
        <f>M52</f>
        <v>0</v>
      </c>
      <c r="N51" s="310">
        <f t="shared" si="14"/>
        <v>0</v>
      </c>
    </row>
    <row r="52" spans="1:16" ht="15" x14ac:dyDescent="0.25">
      <c r="A52" s="96">
        <v>2020120301</v>
      </c>
      <c r="B52" s="31" t="s">
        <v>191</v>
      </c>
      <c r="C52" s="295"/>
      <c r="D52" s="21"/>
      <c r="E52" s="22"/>
      <c r="F52" s="34">
        <f>1000000+'LIBRO DE PRESUPUESTO'!G507</f>
        <v>1092063</v>
      </c>
      <c r="G52" s="61"/>
      <c r="H52" s="20">
        <f>C52-D52+E52+F52-G52</f>
        <v>1092063</v>
      </c>
      <c r="I52" s="21">
        <f>NOVIEMBRE!I51+NOVIEMBRE!J51</f>
        <v>879529</v>
      </c>
      <c r="J52" s="21">
        <f>'LIBRO DE PRESUPUESTO'!J506+'LIBRO DE PRESUPUESTO'!J508</f>
        <v>212534</v>
      </c>
      <c r="K52" s="15">
        <f t="shared" si="5"/>
        <v>1</v>
      </c>
      <c r="L52" s="23">
        <f t="shared" si="13"/>
        <v>1092063</v>
      </c>
      <c r="M52" s="24">
        <f>H52-L52</f>
        <v>0</v>
      </c>
      <c r="N52" s="17">
        <f t="shared" si="14"/>
        <v>0</v>
      </c>
    </row>
    <row r="53" spans="1:16" s="69" customFormat="1" ht="27.75" customHeight="1" x14ac:dyDescent="0.2">
      <c r="A53" s="63" t="s">
        <v>86</v>
      </c>
      <c r="B53" s="79" t="s">
        <v>87</v>
      </c>
      <c r="C53" s="70">
        <f>SUM(C54:C57)</f>
        <v>83777303</v>
      </c>
      <c r="D53" s="70">
        <f t="shared" ref="D53:J53" si="16">SUM(D54:D57)</f>
        <v>0</v>
      </c>
      <c r="E53" s="70">
        <f t="shared" si="16"/>
        <v>0</v>
      </c>
      <c r="F53" s="70">
        <f t="shared" si="16"/>
        <v>0</v>
      </c>
      <c r="G53" s="70">
        <f t="shared" si="16"/>
        <v>9309781</v>
      </c>
      <c r="H53" s="70">
        <f t="shared" si="16"/>
        <v>74467522</v>
      </c>
      <c r="I53" s="70">
        <f t="shared" si="16"/>
        <v>51145104</v>
      </c>
      <c r="J53" s="70">
        <f t="shared" si="16"/>
        <v>23322418</v>
      </c>
      <c r="K53" s="66">
        <f>L53/H53</f>
        <v>1</v>
      </c>
      <c r="L53" s="70">
        <f>SUM(L54:L57)</f>
        <v>74467522</v>
      </c>
      <c r="M53" s="70">
        <f>SUM(M54:M57)</f>
        <v>0</v>
      </c>
      <c r="N53" s="68">
        <f t="shared" si="14"/>
        <v>0</v>
      </c>
    </row>
    <row r="54" spans="1:16" ht="15" x14ac:dyDescent="0.25">
      <c r="A54" s="18" t="s">
        <v>88</v>
      </c>
      <c r="B54" s="31" t="s">
        <v>89</v>
      </c>
      <c r="C54" s="215">
        <v>13146618</v>
      </c>
      <c r="D54" s="311"/>
      <c r="E54" s="22"/>
      <c r="F54" s="34"/>
      <c r="G54" s="61">
        <f>'LIBRO DE PRESUPUESTO'!H518</f>
        <v>148421</v>
      </c>
      <c r="H54" s="20">
        <f>C54-D54+E54+F54-G54</f>
        <v>12998197</v>
      </c>
      <c r="I54" s="21">
        <f>NOVIEMBRE!I53+NOVIEMBRE!J53</f>
        <v>0</v>
      </c>
      <c r="J54" s="42">
        <f>'LIBRO DE PRESUPUESTO'!J519</f>
        <v>12998197</v>
      </c>
      <c r="K54" s="15">
        <f t="shared" ref="K54:K67" si="17">L54/H54</f>
        <v>1</v>
      </c>
      <c r="L54" s="23">
        <f>J54+I54</f>
        <v>12998197</v>
      </c>
      <c r="M54" s="24">
        <f t="shared" si="2"/>
        <v>0</v>
      </c>
      <c r="N54" s="17">
        <f t="shared" si="14"/>
        <v>0</v>
      </c>
    </row>
    <row r="55" spans="1:16" ht="15" x14ac:dyDescent="0.25">
      <c r="A55" s="18" t="s">
        <v>90</v>
      </c>
      <c r="B55" s="31" t="s">
        <v>91</v>
      </c>
      <c r="C55" s="215">
        <v>43392204</v>
      </c>
      <c r="D55" s="311"/>
      <c r="E55" s="22"/>
      <c r="F55" s="34"/>
      <c r="G55" s="61">
        <f>'LIBRO DE PRESUPUESTO'!H538</f>
        <v>781111</v>
      </c>
      <c r="H55" s="20">
        <f>C55-D55+E55+F55-G55</f>
        <v>42611093</v>
      </c>
      <c r="I55" s="21">
        <f>NOVIEMBRE!I54+NOVIEMBRE!J54</f>
        <v>39052935</v>
      </c>
      <c r="J55" s="41">
        <f>'LIBRO DE PRESUPUESTO'!J540</f>
        <v>3558158</v>
      </c>
      <c r="K55" s="15">
        <f t="shared" si="17"/>
        <v>1</v>
      </c>
      <c r="L55" s="23">
        <f>J55+I55</f>
        <v>42611093</v>
      </c>
      <c r="M55" s="24">
        <f t="shared" si="2"/>
        <v>0</v>
      </c>
      <c r="N55" s="17">
        <f t="shared" si="14"/>
        <v>0</v>
      </c>
      <c r="P55" s="35"/>
    </row>
    <row r="56" spans="1:16" ht="15" x14ac:dyDescent="0.25">
      <c r="A56" s="26">
        <v>2020110304</v>
      </c>
      <c r="B56" s="31" t="s">
        <v>92</v>
      </c>
      <c r="C56" s="215">
        <v>21030769</v>
      </c>
      <c r="D56" s="311"/>
      <c r="E56" s="22"/>
      <c r="F56" s="34"/>
      <c r="G56" s="61">
        <f>'LIBRO DE PRESUPUESTO'!H553</f>
        <v>8195191</v>
      </c>
      <c r="H56" s="20">
        <f>C56-D56+E56+F56-G56</f>
        <v>12835578</v>
      </c>
      <c r="I56" s="21">
        <f>NOVIEMBRE!I55+NOVIEMBRE!J55</f>
        <v>11947342</v>
      </c>
      <c r="J56" s="41">
        <f>'LIBRO DE PRESUPUESTO'!J555</f>
        <v>888236</v>
      </c>
      <c r="K56" s="15">
        <f t="shared" si="17"/>
        <v>1</v>
      </c>
      <c r="L56" s="23">
        <f>J56+I56</f>
        <v>12835578</v>
      </c>
      <c r="M56" s="24">
        <f t="shared" si="2"/>
        <v>0</v>
      </c>
      <c r="N56" s="17">
        <f t="shared" si="14"/>
        <v>0</v>
      </c>
      <c r="P56" s="35"/>
    </row>
    <row r="57" spans="1:16" ht="15" x14ac:dyDescent="0.25">
      <c r="A57" s="26">
        <v>2020110305</v>
      </c>
      <c r="B57" s="31" t="s">
        <v>93</v>
      </c>
      <c r="C57" s="215">
        <v>6207712</v>
      </c>
      <c r="D57" s="312"/>
      <c r="E57" s="22"/>
      <c r="F57" s="34"/>
      <c r="G57" s="44">
        <f>'LIBRO DE PRESUPUESTO'!H562</f>
        <v>185058</v>
      </c>
      <c r="H57" s="20">
        <f>C57-D57+E57+F57-G57</f>
        <v>6022654</v>
      </c>
      <c r="I57" s="21">
        <f>NOVIEMBRE!I56+NOVIEMBRE!J56</f>
        <v>144827</v>
      </c>
      <c r="J57" s="20">
        <f>'LIBRO DE PRESUPUESTO'!J561</f>
        <v>5877827</v>
      </c>
      <c r="K57" s="15">
        <f t="shared" si="17"/>
        <v>1</v>
      </c>
      <c r="L57" s="23">
        <f>J57+I57</f>
        <v>6022654</v>
      </c>
      <c r="M57" s="24">
        <f t="shared" si="2"/>
        <v>0</v>
      </c>
      <c r="N57" s="17">
        <f t="shared" si="14"/>
        <v>0</v>
      </c>
      <c r="P57" s="35"/>
    </row>
    <row r="58" spans="1:16" s="69" customFormat="1" ht="27.75" customHeight="1" x14ac:dyDescent="0.2">
      <c r="A58" s="63">
        <v>20201104</v>
      </c>
      <c r="B58" s="80" t="s">
        <v>94</v>
      </c>
      <c r="C58" s="70">
        <f t="shared" ref="C58:J58" si="18">SUM(C59:C68)</f>
        <v>127422616</v>
      </c>
      <c r="D58" s="70">
        <f t="shared" si="18"/>
        <v>0</v>
      </c>
      <c r="E58" s="70">
        <f t="shared" si="18"/>
        <v>0</v>
      </c>
      <c r="F58" s="70">
        <f t="shared" si="18"/>
        <v>12612743</v>
      </c>
      <c r="G58" s="70">
        <f t="shared" si="18"/>
        <v>4323683</v>
      </c>
      <c r="H58" s="70">
        <f t="shared" si="18"/>
        <v>135711676</v>
      </c>
      <c r="I58" s="65">
        <f t="shared" si="18"/>
        <v>94204325</v>
      </c>
      <c r="J58" s="65">
        <f t="shared" si="18"/>
        <v>41507351</v>
      </c>
      <c r="K58" s="66">
        <f>L58/H58</f>
        <v>1</v>
      </c>
      <c r="L58" s="67">
        <f>SUM(L59:L68)</f>
        <v>135711676</v>
      </c>
      <c r="M58" s="72">
        <f>SUM(M59:M68)</f>
        <v>0</v>
      </c>
      <c r="N58" s="68">
        <f t="shared" si="14"/>
        <v>0</v>
      </c>
      <c r="P58" s="76"/>
    </row>
    <row r="59" spans="1:16" ht="15" x14ac:dyDescent="0.25">
      <c r="A59" s="75" t="s">
        <v>95</v>
      </c>
      <c r="B59" s="31" t="s">
        <v>96</v>
      </c>
      <c r="C59" s="215">
        <v>38584317</v>
      </c>
      <c r="D59" s="311"/>
      <c r="E59" s="22"/>
      <c r="F59" s="34">
        <v>135937</v>
      </c>
      <c r="G59" s="61">
        <f>'LIBRO DE PRESUPUESTO'!H570</f>
        <v>4260715</v>
      </c>
      <c r="H59" s="20">
        <f t="shared" ref="H59:H71" si="19">C59-D59+E59+F59-G59</f>
        <v>34459539</v>
      </c>
      <c r="I59" s="21">
        <f>NOVIEMBRE!I58+NOVIEMBRE!J58</f>
        <v>2096036</v>
      </c>
      <c r="J59" s="25">
        <f>'LIBRO DE PRESUPUESTO'!J572</f>
        <v>32363503</v>
      </c>
      <c r="K59" s="15">
        <f t="shared" si="17"/>
        <v>1</v>
      </c>
      <c r="L59" s="23">
        <f t="shared" ref="L59:L71" si="20">J59+I59</f>
        <v>34459539</v>
      </c>
      <c r="M59" s="24">
        <f t="shared" si="2"/>
        <v>0</v>
      </c>
      <c r="N59" s="17">
        <f t="shared" si="14"/>
        <v>0</v>
      </c>
      <c r="P59" s="35"/>
    </row>
    <row r="60" spans="1:16" ht="15" x14ac:dyDescent="0.25">
      <c r="A60" s="18" t="s">
        <v>97</v>
      </c>
      <c r="B60" s="31" t="s">
        <v>91</v>
      </c>
      <c r="C60" s="215">
        <v>0</v>
      </c>
      <c r="D60" s="311"/>
      <c r="E60" s="22"/>
      <c r="F60" s="34"/>
      <c r="G60" s="61"/>
      <c r="H60" s="20">
        <f t="shared" si="19"/>
        <v>0</v>
      </c>
      <c r="I60" s="21">
        <f>NOVIEMBRE!I59+NOVIEMBRE!J59</f>
        <v>0</v>
      </c>
      <c r="J60" s="21"/>
      <c r="K60" s="15">
        <v>0</v>
      </c>
      <c r="L60" s="16">
        <f t="shared" si="20"/>
        <v>0</v>
      </c>
      <c r="M60" s="24">
        <f t="shared" si="2"/>
        <v>0</v>
      </c>
      <c r="N60" s="17">
        <v>0</v>
      </c>
      <c r="P60" s="35"/>
    </row>
    <row r="61" spans="1:16" ht="15" x14ac:dyDescent="0.25">
      <c r="A61" s="18" t="s">
        <v>98</v>
      </c>
      <c r="B61" s="31" t="s">
        <v>99</v>
      </c>
      <c r="C61" s="215">
        <v>2664792</v>
      </c>
      <c r="D61" s="311"/>
      <c r="E61" s="22"/>
      <c r="F61" s="34">
        <f>'LIBRO DE PRESUPUESTO'!G594+'LIBRO DE PRESUPUESTO'!G597</f>
        <v>543708</v>
      </c>
      <c r="G61" s="61"/>
      <c r="H61" s="20">
        <f t="shared" si="19"/>
        <v>3208500</v>
      </c>
      <c r="I61" s="21">
        <f>NOVIEMBRE!I60+NOVIEMBRE!J60</f>
        <v>2989600</v>
      </c>
      <c r="J61" s="41">
        <f>'LIBRO DE PRESUPUESTO'!J598</f>
        <v>218900</v>
      </c>
      <c r="K61" s="15">
        <f t="shared" si="17"/>
        <v>1</v>
      </c>
      <c r="L61" s="23">
        <f t="shared" si="20"/>
        <v>3208500</v>
      </c>
      <c r="M61" s="24">
        <f t="shared" si="2"/>
        <v>0</v>
      </c>
      <c r="N61" s="17">
        <f t="shared" ref="N61:N67" si="21">M61/H61</f>
        <v>0</v>
      </c>
      <c r="P61" s="35"/>
    </row>
    <row r="62" spans="1:16" ht="15" x14ac:dyDescent="0.25">
      <c r="A62" s="18" t="s">
        <v>100</v>
      </c>
      <c r="B62" s="31" t="s">
        <v>92</v>
      </c>
      <c r="C62" s="215">
        <v>40228819</v>
      </c>
      <c r="D62" s="311"/>
      <c r="E62" s="22"/>
      <c r="F62" s="34">
        <f>'LIBRO DE PRESUPUESTO'!G612</f>
        <v>7162418</v>
      </c>
      <c r="G62" s="61"/>
      <c r="H62" s="20">
        <f t="shared" si="19"/>
        <v>47391237</v>
      </c>
      <c r="I62" s="21">
        <f>NOVIEMBRE!I61+NOVIEMBRE!J61</f>
        <v>43256189</v>
      </c>
      <c r="J62" s="37">
        <f>'LIBRO DE PRESUPUESTO'!J614</f>
        <v>4135048</v>
      </c>
      <c r="K62" s="15">
        <f t="shared" si="17"/>
        <v>1</v>
      </c>
      <c r="L62" s="23">
        <f t="shared" si="20"/>
        <v>47391237</v>
      </c>
      <c r="M62" s="24">
        <f t="shared" si="2"/>
        <v>0</v>
      </c>
      <c r="N62" s="17">
        <f t="shared" si="21"/>
        <v>0</v>
      </c>
      <c r="P62" s="35"/>
    </row>
    <row r="63" spans="1:16" ht="15" x14ac:dyDescent="0.25">
      <c r="A63" s="18" t="s">
        <v>101</v>
      </c>
      <c r="B63" s="31" t="s">
        <v>102</v>
      </c>
      <c r="C63" s="215">
        <v>20419860</v>
      </c>
      <c r="D63" s="311"/>
      <c r="E63" s="22"/>
      <c r="F63" s="34">
        <f>'LIBRO DE PRESUPUESTO'!G627+'LIBRO DE PRESUPUESTO'!G629</f>
        <v>2060440</v>
      </c>
      <c r="G63" s="61"/>
      <c r="H63" s="20">
        <f t="shared" si="19"/>
        <v>22480300</v>
      </c>
      <c r="I63" s="21">
        <f>NOVIEMBRE!I62+NOVIEMBRE!J62</f>
        <v>20352200</v>
      </c>
      <c r="J63" s="41">
        <f>'LIBRO DE PRESUPUESTO'!J630</f>
        <v>2128100</v>
      </c>
      <c r="K63" s="15">
        <f t="shared" si="17"/>
        <v>1</v>
      </c>
      <c r="L63" s="23">
        <f t="shared" si="20"/>
        <v>22480300</v>
      </c>
      <c r="M63" s="24">
        <f t="shared" si="2"/>
        <v>0</v>
      </c>
      <c r="N63" s="17">
        <f t="shared" si="21"/>
        <v>0</v>
      </c>
      <c r="P63" s="35"/>
    </row>
    <row r="64" spans="1:16" ht="15" x14ac:dyDescent="0.25">
      <c r="A64" s="18" t="s">
        <v>103</v>
      </c>
      <c r="B64" s="31" t="s">
        <v>104</v>
      </c>
      <c r="C64" s="215">
        <v>15314892</v>
      </c>
      <c r="D64" s="311"/>
      <c r="E64" s="22"/>
      <c r="F64" s="34">
        <f>'LIBRO DE PRESUPUESTO'!G643+'LIBRO DE PRESUPUESTO'!G645</f>
        <v>1579008</v>
      </c>
      <c r="G64" s="61"/>
      <c r="H64" s="20">
        <f t="shared" si="19"/>
        <v>16893900</v>
      </c>
      <c r="I64" s="21">
        <f>NOVIEMBRE!I63+NOVIEMBRE!J63</f>
        <v>15297600</v>
      </c>
      <c r="J64" s="41">
        <f>'LIBRO DE PRESUPUESTO'!J646</f>
        <v>1596300</v>
      </c>
      <c r="K64" s="15">
        <f t="shared" si="17"/>
        <v>1</v>
      </c>
      <c r="L64" s="23">
        <f t="shared" si="20"/>
        <v>16893900</v>
      </c>
      <c r="M64" s="24">
        <f t="shared" si="2"/>
        <v>0</v>
      </c>
      <c r="N64" s="17">
        <f t="shared" si="21"/>
        <v>0</v>
      </c>
      <c r="P64" s="35"/>
    </row>
    <row r="65" spans="1:16" ht="15" x14ac:dyDescent="0.25">
      <c r="A65" s="18" t="s">
        <v>105</v>
      </c>
      <c r="B65" s="31" t="s">
        <v>106</v>
      </c>
      <c r="C65" s="215">
        <v>2552484</v>
      </c>
      <c r="D65" s="311"/>
      <c r="E65" s="22"/>
      <c r="F65" s="34">
        <f>'LIBRO DE PRESUPUESTO'!G659</f>
        <v>300000</v>
      </c>
      <c r="G65" s="61">
        <f>'LIBRO DE PRESUPUESTO'!H661</f>
        <v>31484</v>
      </c>
      <c r="H65" s="20">
        <f t="shared" si="19"/>
        <v>2821000</v>
      </c>
      <c r="I65" s="21">
        <f>NOVIEMBRE!I64+NOVIEMBRE!J64</f>
        <v>2554500</v>
      </c>
      <c r="J65" s="41">
        <f>'LIBRO DE PRESUPUESTO'!J662</f>
        <v>266500</v>
      </c>
      <c r="K65" s="15">
        <f t="shared" si="17"/>
        <v>1</v>
      </c>
      <c r="L65" s="23">
        <f t="shared" si="20"/>
        <v>2821000</v>
      </c>
      <c r="M65" s="24">
        <f t="shared" si="2"/>
        <v>0</v>
      </c>
      <c r="N65" s="17">
        <f t="shared" si="21"/>
        <v>0</v>
      </c>
      <c r="P65" s="35"/>
    </row>
    <row r="66" spans="1:16" ht="15" x14ac:dyDescent="0.25">
      <c r="A66" s="18" t="s">
        <v>107</v>
      </c>
      <c r="B66" s="31" t="s">
        <v>108</v>
      </c>
      <c r="C66" s="215">
        <v>2552484</v>
      </c>
      <c r="D66" s="311"/>
      <c r="E66" s="22"/>
      <c r="F66" s="34">
        <f>'LIBRO DE PRESUPUESTO'!G674</f>
        <v>300000</v>
      </c>
      <c r="G66" s="61">
        <f>'LIBRO DE PRESUPUESTO'!H676</f>
        <v>31484</v>
      </c>
      <c r="H66" s="20">
        <f t="shared" si="19"/>
        <v>2821000</v>
      </c>
      <c r="I66" s="21">
        <f>NOVIEMBRE!I65+NOVIEMBRE!J65</f>
        <v>2554500</v>
      </c>
      <c r="J66" s="41">
        <f>'LIBRO DE PRESUPUESTO'!J677</f>
        <v>266500</v>
      </c>
      <c r="K66" s="15">
        <f t="shared" si="17"/>
        <v>1</v>
      </c>
      <c r="L66" s="23">
        <f t="shared" si="20"/>
        <v>2821000</v>
      </c>
      <c r="M66" s="24">
        <f t="shared" si="2"/>
        <v>0</v>
      </c>
      <c r="N66" s="17">
        <f t="shared" si="21"/>
        <v>0</v>
      </c>
      <c r="P66" s="35"/>
    </row>
    <row r="67" spans="1:16" ht="15" x14ac:dyDescent="0.25">
      <c r="A67" s="18" t="s">
        <v>109</v>
      </c>
      <c r="B67" s="31" t="s">
        <v>110</v>
      </c>
      <c r="C67" s="215">
        <v>5104968</v>
      </c>
      <c r="D67" s="311"/>
      <c r="E67" s="22"/>
      <c r="F67" s="34">
        <f>'LIBRO DE PRESUPUESTO'!G696</f>
        <v>531232</v>
      </c>
      <c r="G67" s="61"/>
      <c r="H67" s="20">
        <f>C67-D67+E67+F67-G67</f>
        <v>5636200</v>
      </c>
      <c r="I67" s="21">
        <f>NOVIEMBRE!I66+NOVIEMBRE!J66</f>
        <v>5103700</v>
      </c>
      <c r="J67" s="41">
        <f>'LIBRO DE PRESUPUESTO'!J697</f>
        <v>532500</v>
      </c>
      <c r="K67" s="15">
        <f t="shared" si="17"/>
        <v>1</v>
      </c>
      <c r="L67" s="23">
        <f t="shared" si="20"/>
        <v>5636200</v>
      </c>
      <c r="M67" s="24">
        <f t="shared" si="2"/>
        <v>0</v>
      </c>
      <c r="N67" s="17">
        <f t="shared" si="21"/>
        <v>0</v>
      </c>
      <c r="P67" s="35"/>
    </row>
    <row r="68" spans="1:16" ht="15" x14ac:dyDescent="0.25">
      <c r="A68" s="18" t="s">
        <v>111</v>
      </c>
      <c r="B68" s="31" t="s">
        <v>112</v>
      </c>
      <c r="C68" s="193">
        <v>0</v>
      </c>
      <c r="D68" s="21"/>
      <c r="E68" s="22"/>
      <c r="F68" s="34"/>
      <c r="G68" s="61"/>
      <c r="H68" s="20">
        <f t="shared" si="19"/>
        <v>0</v>
      </c>
      <c r="I68" s="21">
        <f>NOVIEMBRE!I67+NOVIEMBRE!J67</f>
        <v>0</v>
      </c>
      <c r="J68" s="21">
        <v>0</v>
      </c>
      <c r="K68" s="15">
        <v>0</v>
      </c>
      <c r="L68" s="16">
        <f t="shared" si="20"/>
        <v>0</v>
      </c>
      <c r="M68" s="24">
        <f t="shared" si="2"/>
        <v>0</v>
      </c>
      <c r="N68" s="17">
        <v>0</v>
      </c>
      <c r="P68" s="35"/>
    </row>
    <row r="69" spans="1:16" ht="27" customHeight="1" x14ac:dyDescent="0.2">
      <c r="A69" s="94">
        <v>20201301</v>
      </c>
      <c r="B69" s="64" t="s">
        <v>116</v>
      </c>
      <c r="C69" s="70">
        <f>C70</f>
        <v>0</v>
      </c>
      <c r="D69" s="71">
        <f>D70</f>
        <v>0</v>
      </c>
      <c r="E69" s="71">
        <f>E70+E71</f>
        <v>45000000</v>
      </c>
      <c r="F69" s="65">
        <f>F70+F71</f>
        <v>2727400</v>
      </c>
      <c r="G69" s="71">
        <f>G70</f>
        <v>0</v>
      </c>
      <c r="H69" s="65">
        <f>SUM(H70:H71)</f>
        <v>47727400</v>
      </c>
      <c r="I69" s="65">
        <f>I70</f>
        <v>0</v>
      </c>
      <c r="J69" s="65">
        <f>J70</f>
        <v>1825917</v>
      </c>
      <c r="K69" s="66">
        <f>K70</f>
        <v>0</v>
      </c>
      <c r="L69" s="67">
        <f>L70+L71</f>
        <v>47727400</v>
      </c>
      <c r="M69" s="72">
        <f>SUM(M70:M71)</f>
        <v>0</v>
      </c>
      <c r="N69" s="68">
        <v>0</v>
      </c>
      <c r="P69" s="35"/>
    </row>
    <row r="70" spans="1:16" ht="15" x14ac:dyDescent="0.25">
      <c r="A70" s="95">
        <v>2020130101</v>
      </c>
      <c r="B70" s="87" t="s">
        <v>117</v>
      </c>
      <c r="C70" s="88">
        <v>0</v>
      </c>
      <c r="D70" s="89">
        <v>0</v>
      </c>
      <c r="E70" s="90">
        <v>0</v>
      </c>
      <c r="F70" s="91">
        <v>2549817</v>
      </c>
      <c r="G70" s="92"/>
      <c r="H70" s="20">
        <f t="shared" si="19"/>
        <v>2549817</v>
      </c>
      <c r="I70" s="21">
        <f>NOVIEMBRE!I69+NOVIEMBRE!J69</f>
        <v>0</v>
      </c>
      <c r="J70" s="89">
        <v>1825917</v>
      </c>
      <c r="K70" s="15">
        <v>0</v>
      </c>
      <c r="L70" s="23">
        <v>2549817</v>
      </c>
      <c r="M70" s="24">
        <f t="shared" si="2"/>
        <v>0</v>
      </c>
      <c r="N70" s="17">
        <v>0</v>
      </c>
      <c r="P70" s="35"/>
    </row>
    <row r="71" spans="1:16" ht="15" x14ac:dyDescent="0.25">
      <c r="A71" s="95">
        <v>45</v>
      </c>
      <c r="B71" s="87" t="s">
        <v>117</v>
      </c>
      <c r="C71" s="88">
        <v>0</v>
      </c>
      <c r="D71" s="89">
        <v>0</v>
      </c>
      <c r="E71" s="90">
        <v>45000000</v>
      </c>
      <c r="F71" s="91">
        <v>177583</v>
      </c>
      <c r="G71" s="92">
        <v>0</v>
      </c>
      <c r="H71" s="20">
        <f t="shared" si="19"/>
        <v>45177583</v>
      </c>
      <c r="I71" s="21">
        <f>NOVIEMBRE!I70+NOVIEMBRE!J70</f>
        <v>0</v>
      </c>
      <c r="J71" s="89">
        <v>45177583</v>
      </c>
      <c r="K71" s="15">
        <v>0</v>
      </c>
      <c r="L71" s="23">
        <f t="shared" si="20"/>
        <v>45177583</v>
      </c>
      <c r="M71" s="24">
        <f t="shared" si="2"/>
        <v>0</v>
      </c>
      <c r="N71" s="17">
        <v>0</v>
      </c>
      <c r="P71" s="35"/>
    </row>
    <row r="72" spans="1:16" s="77" customFormat="1" ht="31.5" customHeight="1" thickBot="1" x14ac:dyDescent="0.25">
      <c r="A72" s="78"/>
      <c r="B72" s="82" t="s">
        <v>113</v>
      </c>
      <c r="C72" s="86">
        <f>C58+C53+C51+C32+C20+C25+C8</f>
        <v>973593066</v>
      </c>
      <c r="D72" s="83">
        <f>D9+D58</f>
        <v>0</v>
      </c>
      <c r="E72" s="83">
        <f t="shared" ref="E72:J72" si="22">E8+E20+E25+E32+E51+E53+E58+E69</f>
        <v>241428242</v>
      </c>
      <c r="F72" s="83">
        <f t="shared" si="22"/>
        <v>104380086</v>
      </c>
      <c r="G72" s="83">
        <f t="shared" si="22"/>
        <v>104380086</v>
      </c>
      <c r="H72" s="83">
        <f t="shared" si="22"/>
        <v>1215021308</v>
      </c>
      <c r="I72" s="83">
        <f t="shared" si="22"/>
        <v>963765590</v>
      </c>
      <c r="J72" s="83">
        <f t="shared" si="22"/>
        <v>205354235</v>
      </c>
      <c r="K72" s="84">
        <f>L72/H72</f>
        <v>1</v>
      </c>
      <c r="L72" s="83">
        <f>L8+L20+L25+L32+L51+L53+L58+L69</f>
        <v>1215021308</v>
      </c>
      <c r="M72" s="83">
        <f>M8+M20+M25+M32+M53+M51+M58+M69</f>
        <v>0</v>
      </c>
      <c r="N72" s="85">
        <f>M72/H72</f>
        <v>0</v>
      </c>
    </row>
    <row r="73" spans="1:16" ht="35.25" customHeight="1" thickBot="1" x14ac:dyDescent="0.3">
      <c r="A73" s="81" t="s">
        <v>114</v>
      </c>
      <c r="B73" s="444" t="s">
        <v>115</v>
      </c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6"/>
      <c r="P73" s="38"/>
    </row>
    <row r="75" spans="1:16" x14ac:dyDescent="0.2">
      <c r="D75" s="38"/>
      <c r="E75" s="38"/>
      <c r="F75" s="38"/>
      <c r="G75" s="38"/>
      <c r="M75" s="38"/>
    </row>
    <row r="76" spans="1:16" x14ac:dyDescent="0.2">
      <c r="G76" s="38"/>
      <c r="I76" s="38"/>
      <c r="J76" s="40"/>
      <c r="M76" s="38"/>
    </row>
    <row r="77" spans="1:16" x14ac:dyDescent="0.2">
      <c r="D77" s="38"/>
      <c r="J77" s="38"/>
      <c r="K77" s="38"/>
      <c r="M77" s="38"/>
    </row>
    <row r="78" spans="1:16" x14ac:dyDescent="0.2">
      <c r="H78" s="38"/>
      <c r="J78" s="38"/>
      <c r="M78" s="38"/>
    </row>
    <row r="79" spans="1:16" x14ac:dyDescent="0.2">
      <c r="J79" s="38"/>
    </row>
  </sheetData>
  <mergeCells count="5">
    <mergeCell ref="A1:N1"/>
    <mergeCell ref="A2:N2"/>
    <mergeCell ref="A3:N3"/>
    <mergeCell ref="K5:K6"/>
    <mergeCell ref="B73:N73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="90" zoomScaleNormal="90" zoomScaleSheetLayoutView="80" workbookViewId="0">
      <pane xSplit="2" ySplit="7" topLeftCell="C47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7.625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288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203217</v>
      </c>
      <c r="G8" s="65">
        <f t="shared" si="0"/>
        <v>46628900</v>
      </c>
      <c r="H8" s="65">
        <f t="shared" si="0"/>
        <v>642897385.91321981</v>
      </c>
      <c r="I8" s="65">
        <f>I9+I10+I11+I12+I13+I14+I15+I17+I19</f>
        <v>480733955</v>
      </c>
      <c r="J8" s="65">
        <f>SUM(J9:J19)</f>
        <v>48291587</v>
      </c>
      <c r="K8" s="66">
        <f>L8/H8</f>
        <v>0.82287710852725326</v>
      </c>
      <c r="L8" s="67">
        <f>I8+J8</f>
        <v>529025542</v>
      </c>
      <c r="M8" s="65">
        <f>SUM(M9:M19)</f>
        <v>113871843.91321978</v>
      </c>
      <c r="N8" s="68">
        <f>M8/H8</f>
        <v>0.17712289147274668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PRESUPUESTO'!H9+'LIBRO DE PRESUPUESTO'!H17+'LIBRO DE PRESUPUESTO'!H20</f>
        <v>46085200</v>
      </c>
      <c r="H9" s="20">
        <f>C9-D9+E9+F9-G9</f>
        <v>492022129.20000005</v>
      </c>
      <c r="I9" s="21">
        <f>OCTUBRE!I9+OCTUBRE!J9</f>
        <v>408032473</v>
      </c>
      <c r="J9" s="41">
        <f>'LIBRO DE PRESUPUESTO'!J21</f>
        <v>41853557</v>
      </c>
      <c r="K9" s="15">
        <f>L9/H9</f>
        <v>0.91436137380952576</v>
      </c>
      <c r="L9" s="23">
        <f t="shared" ref="L9:L15" si="1">J9+I9</f>
        <v>449886030</v>
      </c>
      <c r="M9" s="24">
        <f>H9-L9</f>
        <v>42136099.200000048</v>
      </c>
      <c r="N9" s="17">
        <f>M9/H9</f>
        <v>8.5638626190474285E-2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OCTUBRE!I10+OCTUBRE!J10</f>
        <v>0</v>
      </c>
      <c r="J10" s="21"/>
      <c r="K10" s="15">
        <v>0</v>
      </c>
      <c r="L10" s="23">
        <f t="shared" si="1"/>
        <v>0</v>
      </c>
      <c r="M10" s="24">
        <f t="shared" ref="M10:M70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OCTUBRE!I11+OCTUBRE!J11</f>
        <v>852706</v>
      </c>
      <c r="J11" s="21">
        <f>'LIBRO DE PRESUPUESTO'!J41</f>
        <v>88211</v>
      </c>
      <c r="K11" s="15">
        <f>L11/H11</f>
        <v>0.87324537371145505</v>
      </c>
      <c r="L11" s="23">
        <f t="shared" si="1"/>
        <v>940917</v>
      </c>
      <c r="M11" s="24">
        <f t="shared" si="3"/>
        <v>136577.39999999991</v>
      </c>
      <c r="N11" s="17">
        <f t="shared" ref="N11:N22" si="4">M11/H11</f>
        <v>0.12675462628854489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>
        <f>'LIBRO DE PRESUPUESTO'!H57</f>
        <v>543700</v>
      </c>
      <c r="H12" s="20">
        <f t="shared" si="2"/>
        <v>940349.60000000009</v>
      </c>
      <c r="I12" s="21">
        <f>OCTUBRE!I12+OCTUBRE!J12</f>
        <v>669892</v>
      </c>
      <c r="J12" s="21">
        <f>'LIBRO DE PRESUPUESTO'!J59</f>
        <v>60170</v>
      </c>
      <c r="K12" s="15">
        <f t="shared" ref="K12:K49" si="5">L12/H12</f>
        <v>0.77637295746177792</v>
      </c>
      <c r="L12" s="23">
        <f t="shared" si="1"/>
        <v>730062</v>
      </c>
      <c r="M12" s="24">
        <f t="shared" si="3"/>
        <v>210287.60000000009</v>
      </c>
      <c r="N12" s="17">
        <f t="shared" si="4"/>
        <v>0.22362704253822202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>
        <f>'LIBRO DE PRESUPUESTO'!G77</f>
        <v>203217</v>
      </c>
      <c r="G13" s="61"/>
      <c r="H13" s="20">
        <f t="shared" si="2"/>
        <v>15239957.388045937</v>
      </c>
      <c r="I13" s="21">
        <f>OCTUBRE!I13+OCTUBRE!J13</f>
        <v>11434057</v>
      </c>
      <c r="J13" s="41">
        <f>'LIBRO DE PRESUPUESTO'!J78</f>
        <v>3805900</v>
      </c>
      <c r="K13" s="15">
        <f t="shared" si="5"/>
        <v>0.99999997453759704</v>
      </c>
      <c r="L13" s="23">
        <f t="shared" si="1"/>
        <v>15239957</v>
      </c>
      <c r="M13" s="24">
        <f t="shared" si="3"/>
        <v>0.38804593682289124</v>
      </c>
      <c r="N13" s="17">
        <f t="shared" si="4"/>
        <v>2.546240300693166E-8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OCTUBRE!I14+OCTUBRE!J14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OCTUBRE!I15+OCTUBRE!J15</f>
        <v>13889417</v>
      </c>
      <c r="J15" s="41">
        <f>'LIBRO DE PRESUPUESTO'!J98</f>
        <v>2483749</v>
      </c>
      <c r="K15" s="15">
        <f t="shared" si="5"/>
        <v>0.71433710372923076</v>
      </c>
      <c r="L15" s="23">
        <f t="shared" si="1"/>
        <v>16373166</v>
      </c>
      <c r="M15" s="24">
        <f t="shared" si="3"/>
        <v>6547617.3591774926</v>
      </c>
      <c r="N15" s="17">
        <f t="shared" si="4"/>
        <v>0.28566289627076918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OCTUBRE!I16+OCTUBRE!J16</f>
        <v>0</v>
      </c>
      <c r="J16" s="41">
        <v>0</v>
      </c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OCTUBRE!I17+OCTUBRE!J17</f>
        <v>23058487</v>
      </c>
      <c r="J17" s="41">
        <v>0</v>
      </c>
      <c r="K17" s="15">
        <f t="shared" si="5"/>
        <v>0.62112726683475672</v>
      </c>
      <c r="L17" s="23">
        <f>J17+I17</f>
        <v>23058487</v>
      </c>
      <c r="M17" s="24">
        <f t="shared" si="3"/>
        <v>14065123.942899451</v>
      </c>
      <c r="N17" s="17">
        <f t="shared" si="4"/>
        <v>0.37887273316524334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OCTUBRE!I18+OCTUBRE!J18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OCTUBRE!I19+OCTUBRE!J19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13500000</v>
      </c>
      <c r="H20" s="65">
        <f t="shared" si="7"/>
        <v>47000000</v>
      </c>
      <c r="I20" s="65">
        <f t="shared" si="7"/>
        <v>41332100</v>
      </c>
      <c r="J20" s="65">
        <f>SUM(J21:J24)</f>
        <v>3000000</v>
      </c>
      <c r="K20" s="66">
        <f>L20/H20</f>
        <v>0.94323617021276596</v>
      </c>
      <c r="L20" s="72">
        <f t="shared" si="6"/>
        <v>44332100</v>
      </c>
      <c r="M20" s="72">
        <f>SUM(M21:M24)</f>
        <v>2667900</v>
      </c>
      <c r="N20" s="68">
        <f t="shared" si="4"/>
        <v>5.6763829787234044E-2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OCTUBRE!I21+OCTUBRE!J21</f>
        <v>40500000</v>
      </c>
      <c r="J21" s="21">
        <v>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>
        <f>'LIBRO DE PRESUPUESTO'!H140+'LIBRO DE PRESUPUESTO'!H141</f>
        <v>13500000</v>
      </c>
      <c r="H22" s="20">
        <f t="shared" si="2"/>
        <v>6500000</v>
      </c>
      <c r="I22" s="21">
        <f>OCTUBRE!I22+OCTUBRE!J22</f>
        <v>832100</v>
      </c>
      <c r="J22" s="21">
        <f>'LIBRO DE PRESUPUESTO'!J143</f>
        <v>3000000</v>
      </c>
      <c r="K22" s="15">
        <v>0</v>
      </c>
      <c r="L22" s="23">
        <f t="shared" si="6"/>
        <v>3832100</v>
      </c>
      <c r="M22" s="24">
        <f t="shared" si="3"/>
        <v>2667900</v>
      </c>
      <c r="N22" s="17">
        <f t="shared" si="4"/>
        <v>0.41044615384615385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OCTUBRE!I23+OCTUBRE!J23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OCTUBRE!I24+OCTUBRE!J24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1000000</v>
      </c>
      <c r="G25" s="65">
        <f t="shared" si="8"/>
        <v>6000000</v>
      </c>
      <c r="H25" s="65">
        <f t="shared" si="8"/>
        <v>34200000</v>
      </c>
      <c r="I25" s="65">
        <f t="shared" si="8"/>
        <v>32909600</v>
      </c>
      <c r="J25" s="65">
        <f t="shared" si="8"/>
        <v>0</v>
      </c>
      <c r="K25" s="66">
        <f>L25/H25</f>
        <v>0.96226900584795316</v>
      </c>
      <c r="L25" s="72">
        <f t="shared" si="6"/>
        <v>32909600</v>
      </c>
      <c r="M25" s="65">
        <f>SUM(M26:M30)</f>
        <v>1290400</v>
      </c>
      <c r="N25" s="68">
        <f>M25/H25</f>
        <v>3.7730994152046782E-2</v>
      </c>
    </row>
    <row r="26" spans="1:14" ht="15" x14ac:dyDescent="0.25">
      <c r="A26" s="18">
        <v>2020120101</v>
      </c>
      <c r="B26" s="31" t="s">
        <v>49</v>
      </c>
      <c r="C26" s="193">
        <v>3000000</v>
      </c>
      <c r="D26" s="21"/>
      <c r="E26" s="22"/>
      <c r="F26" s="34"/>
      <c r="G26" s="61">
        <v>3000000</v>
      </c>
      <c r="H26" s="20">
        <f>C26-D26+E26+F26-G26</f>
        <v>0</v>
      </c>
      <c r="I26" s="21">
        <f>OCTUBRE!I26+OCTUBRE!J26</f>
        <v>0</v>
      </c>
      <c r="J26" s="25">
        <v>0</v>
      </c>
      <c r="K26" s="15">
        <v>0</v>
      </c>
      <c r="L26" s="16">
        <f t="shared" si="6"/>
        <v>0</v>
      </c>
      <c r="M26" s="24">
        <f t="shared" si="3"/>
        <v>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>
        <v>3000000</v>
      </c>
      <c r="H27" s="20">
        <f>C27-D27+E27+F27-G27</f>
        <v>0</v>
      </c>
      <c r="I27" s="21">
        <f>OCTUBRE!I27+OCTUBRE!J27</f>
        <v>0</v>
      </c>
      <c r="J27" s="25">
        <v>0</v>
      </c>
      <c r="K27" s="15">
        <v>0</v>
      </c>
      <c r="L27" s="16">
        <f t="shared" si="6"/>
        <v>0</v>
      </c>
      <c r="M27" s="24">
        <f t="shared" si="3"/>
        <v>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PRESUPUESTO'!G173</f>
        <v>1000000</v>
      </c>
      <c r="G28" s="61"/>
      <c r="H28" s="20">
        <f>C28-D28+E28+F28-G28</f>
        <v>33000000</v>
      </c>
      <c r="I28" s="21">
        <f>OCTUBRE!I28+OCTUBRE!J28</f>
        <v>32909600</v>
      </c>
      <c r="J28" s="21"/>
      <c r="K28" s="15">
        <f t="shared" si="5"/>
        <v>0.99726060606060607</v>
      </c>
      <c r="L28" s="23">
        <f t="shared" si="6"/>
        <v>32909600</v>
      </c>
      <c r="M28" s="24">
        <f t="shared" si="3"/>
        <v>90400</v>
      </c>
      <c r="N28" s="33">
        <f>M28/H28</f>
        <v>2.7393939393939395E-3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OCTUBRE!I29+OCTUBRE!J29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OCTUBRE!I30+OCTUBRE!J30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SUM(C32:C49)</f>
        <v>75448328</v>
      </c>
      <c r="D31" s="65">
        <f t="shared" si="9"/>
        <v>0</v>
      </c>
      <c r="E31" s="65">
        <f t="shared" si="9"/>
        <v>122000000</v>
      </c>
      <c r="F31" s="65">
        <f>SUM(F32:F49)</f>
        <v>38131976</v>
      </c>
      <c r="G31" s="65">
        <f t="shared" si="9"/>
        <v>3000000</v>
      </c>
      <c r="H31" s="65">
        <f t="shared" si="9"/>
        <v>232580304</v>
      </c>
      <c r="I31" s="65">
        <f t="shared" si="9"/>
        <v>207766486</v>
      </c>
      <c r="J31" s="65">
        <f t="shared" si="9"/>
        <v>3502904</v>
      </c>
      <c r="K31" s="66">
        <f>L31/H31</f>
        <v>0.90837180262693262</v>
      </c>
      <c r="L31" s="67">
        <f>I31+J31</f>
        <v>211269390</v>
      </c>
      <c r="M31" s="72">
        <f>SUM(M32:M49)</f>
        <v>21310914</v>
      </c>
      <c r="N31" s="68">
        <f t="shared" ref="N31:N38" si="10">M31/H31</f>
        <v>9.1628197373067322E-2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9" si="11">C32-D32+E32+F32-G32</f>
        <v>16180000</v>
      </c>
      <c r="I32" s="21">
        <f>OCTUBRE!I32+OCTUBRE!J32</f>
        <v>16180000</v>
      </c>
      <c r="J32" s="21">
        <v>0</v>
      </c>
      <c r="K32" s="15">
        <f t="shared" si="5"/>
        <v>1</v>
      </c>
      <c r="L32" s="23">
        <f t="shared" ref="L32:L51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OCTUBRE!I33+OCTUBRE!J33</f>
        <v>6220900</v>
      </c>
      <c r="J33" s="21"/>
      <c r="K33" s="15">
        <f t="shared" si="5"/>
        <v>0.41472666666666669</v>
      </c>
      <c r="L33" s="23">
        <f t="shared" si="12"/>
        <v>6220900</v>
      </c>
      <c r="M33" s="24">
        <f t="shared" si="3"/>
        <v>8779100</v>
      </c>
      <c r="N33" s="33">
        <f t="shared" si="10"/>
        <v>0.58527333333333331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>
        <f>'LIBRO DE PRESUPUESTO'!G299</f>
        <v>15000000</v>
      </c>
      <c r="G34" s="61"/>
      <c r="H34" s="20">
        <f t="shared" si="11"/>
        <v>54298328</v>
      </c>
      <c r="I34" s="21">
        <f>OCTUBRE!I34+OCTUBRE!J34</f>
        <v>54298328</v>
      </c>
      <c r="J34" s="21"/>
      <c r="K34" s="15">
        <f t="shared" si="5"/>
        <v>1</v>
      </c>
      <c r="L34" s="23">
        <f t="shared" si="12"/>
        <v>54298328</v>
      </c>
      <c r="M34" s="24">
        <f t="shared" si="3"/>
        <v>0</v>
      </c>
      <c r="N34" s="33">
        <f t="shared" si="10"/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>
        <f>'LIBRO DE PRESUPUESTO'!G311++'LIBRO DE PRESUPUESTO'!G327</f>
        <v>14500000</v>
      </c>
      <c r="G35" s="61"/>
      <c r="H35" s="20">
        <f t="shared" si="11"/>
        <v>64500000</v>
      </c>
      <c r="I35" s="21">
        <f>OCTUBRE!I35+OCTUBRE!J35</f>
        <v>59638080</v>
      </c>
      <c r="J35" s="21">
        <f>SUM('LIBRO DE PRESUPUESTO'!J325:J326,'LIBRO DE PRESUPUESTO'!J328:J329)</f>
        <v>2359500</v>
      </c>
      <c r="K35" s="15">
        <f t="shared" si="5"/>
        <v>0.96120279069767445</v>
      </c>
      <c r="L35" s="23">
        <f t="shared" si="12"/>
        <v>61997580</v>
      </c>
      <c r="M35" s="24">
        <f t="shared" si="3"/>
        <v>2502420</v>
      </c>
      <c r="N35" s="33">
        <f t="shared" si="10"/>
        <v>3.879720930232558E-2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OCTUBRE!I36+OCTUBRE!J36</f>
        <v>739100</v>
      </c>
      <c r="J36" s="41">
        <v>0</v>
      </c>
      <c r="K36" s="15">
        <f t="shared" si="5"/>
        <v>0.61591666666666667</v>
      </c>
      <c r="L36" s="23">
        <f t="shared" si="12"/>
        <v>739100</v>
      </c>
      <c r="M36" s="24">
        <f t="shared" si="3"/>
        <v>460900</v>
      </c>
      <c r="N36" s="33">
        <f t="shared" si="10"/>
        <v>0.38408333333333333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OCTUBRE!I37+OCTUBRE!J37</f>
        <v>6516900</v>
      </c>
      <c r="J37" s="41">
        <f>'LIBRO DE PRESUPUESTO'!J373</f>
        <v>630500</v>
      </c>
      <c r="K37" s="15">
        <f t="shared" si="5"/>
        <v>0.66179629629629633</v>
      </c>
      <c r="L37" s="23">
        <f t="shared" si="12"/>
        <v>7147400</v>
      </c>
      <c r="M37" s="24">
        <f t="shared" si="3"/>
        <v>3652600</v>
      </c>
      <c r="N37" s="17">
        <f t="shared" si="10"/>
        <v>0.33820370370370373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OCTUBRE!I38+OCTUBRE!J38</f>
        <v>4644256</v>
      </c>
      <c r="J38" s="41">
        <f>'LIBRO DE PRESUPUESTO'!J406+'LIBRO DE PRESUPUESTO'!J407</f>
        <v>380614</v>
      </c>
      <c r="K38" s="15">
        <f t="shared" si="5"/>
        <v>0.76134393939393941</v>
      </c>
      <c r="L38" s="23">
        <f t="shared" si="12"/>
        <v>5024870</v>
      </c>
      <c r="M38" s="24">
        <f t="shared" si="3"/>
        <v>1575130</v>
      </c>
      <c r="N38" s="17">
        <f t="shared" si="10"/>
        <v>0.23865606060606059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OCTUBRE!I39+OCTUBRE!J39</f>
        <v>1294680</v>
      </c>
      <c r="J39" s="25">
        <f>'LIBRO DE PRESUPUESTO'!J433+'LIBRO DE PRESUPUESTO'!J434</f>
        <v>132290</v>
      </c>
      <c r="K39" s="15">
        <f t="shared" si="5"/>
        <v>0.74321354166666664</v>
      </c>
      <c r="L39" s="23">
        <f t="shared" si="12"/>
        <v>1426970</v>
      </c>
      <c r="M39" s="24">
        <f t="shared" si="3"/>
        <v>493030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OCTUBRE!I40+OCTUBRE!J40</f>
        <v>500000</v>
      </c>
      <c r="J40" s="21">
        <v>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OCTUBRE!I41+OCTUBRE!J41</f>
        <v>0</v>
      </c>
      <c r="J41" s="21"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11"/>
        <v>8631976</v>
      </c>
      <c r="I42" s="21">
        <f>OCTUBRE!I42+OCTUBRE!J42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OCTUBRE!I43+OCTUBRE!J43</f>
        <v>25000000</v>
      </c>
      <c r="J43" s="43">
        <v>0</v>
      </c>
      <c r="K43" s="15">
        <f t="shared" si="5"/>
        <v>1</v>
      </c>
      <c r="L43" s="23">
        <f t="shared" si="12"/>
        <v>25000000</v>
      </c>
      <c r="M43" s="24">
        <f t="shared" si="3"/>
        <v>0</v>
      </c>
      <c r="N43" s="17">
        <f>M43/H43</f>
        <v>0</v>
      </c>
    </row>
    <row r="44" spans="1:14" ht="15" x14ac:dyDescent="0.25">
      <c r="A44" s="18">
        <v>45</v>
      </c>
      <c r="B44" s="32" t="s">
        <v>77</v>
      </c>
      <c r="C44" s="193"/>
      <c r="D44" s="21"/>
      <c r="E44" s="22"/>
      <c r="F44" s="34">
        <v>2000000</v>
      </c>
      <c r="G44" s="61"/>
      <c r="H44" s="20">
        <f t="shared" si="11"/>
        <v>2000000</v>
      </c>
      <c r="I44" s="21">
        <f>OCTUBRE!I44+OCTUBRE!J44</f>
        <v>2000000</v>
      </c>
      <c r="J44" s="43">
        <v>0</v>
      </c>
      <c r="K44" s="15"/>
      <c r="L44" s="23">
        <f t="shared" si="12"/>
        <v>2000000</v>
      </c>
      <c r="M44" s="24">
        <f t="shared" si="3"/>
        <v>0</v>
      </c>
      <c r="N44" s="17"/>
    </row>
    <row r="45" spans="1:14" ht="15" x14ac:dyDescent="0.25">
      <c r="A45" s="18" t="s">
        <v>78</v>
      </c>
      <c r="B45" s="31" t="s">
        <v>79</v>
      </c>
      <c r="C45" s="193">
        <v>0</v>
      </c>
      <c r="D45" s="21"/>
      <c r="E45" s="22">
        <v>3000000</v>
      </c>
      <c r="F45" s="34"/>
      <c r="G45" s="61"/>
      <c r="H45" s="20">
        <f t="shared" si="11"/>
        <v>3000000</v>
      </c>
      <c r="I45" s="21">
        <f>OCTUBRE!I45+OCTUBRE!J45</f>
        <v>2047000</v>
      </c>
      <c r="J45" s="43">
        <v>0</v>
      </c>
      <c r="K45" s="15">
        <f t="shared" si="5"/>
        <v>0.68233333333333335</v>
      </c>
      <c r="L45" s="23">
        <f t="shared" si="12"/>
        <v>2047000</v>
      </c>
      <c r="M45" s="24">
        <f t="shared" si="3"/>
        <v>953000</v>
      </c>
      <c r="N45" s="17">
        <f>M45/H45</f>
        <v>0.31766666666666665</v>
      </c>
    </row>
    <row r="46" spans="1:14" ht="15" x14ac:dyDescent="0.25">
      <c r="A46" s="18" t="s">
        <v>80</v>
      </c>
      <c r="B46" s="31" t="s">
        <v>81</v>
      </c>
      <c r="C46" s="193">
        <v>0</v>
      </c>
      <c r="D46" s="21"/>
      <c r="E46" s="22">
        <v>15000000</v>
      </c>
      <c r="F46" s="34">
        <f>'LIBRO DE PRESUPUESTO'!G482</f>
        <v>6000000</v>
      </c>
      <c r="G46" s="61"/>
      <c r="H46" s="20">
        <f t="shared" si="11"/>
        <v>21000000</v>
      </c>
      <c r="I46" s="21">
        <f>OCTUBRE!I46+OCTUBRE!J46</f>
        <v>20900990</v>
      </c>
      <c r="J46" s="21">
        <v>0</v>
      </c>
      <c r="K46" s="15">
        <f t="shared" si="5"/>
        <v>0.99528523809523806</v>
      </c>
      <c r="L46" s="23">
        <f t="shared" si="12"/>
        <v>20900990</v>
      </c>
      <c r="M46" s="24">
        <f t="shared" si="3"/>
        <v>99010</v>
      </c>
      <c r="N46" s="17">
        <f>M46/H46</f>
        <v>4.7147619047619048E-3</v>
      </c>
    </row>
    <row r="47" spans="1:14" ht="15" x14ac:dyDescent="0.25">
      <c r="A47" s="18">
        <v>2020120213</v>
      </c>
      <c r="B47" s="31" t="s">
        <v>83</v>
      </c>
      <c r="C47" s="193">
        <v>0</v>
      </c>
      <c r="D47" s="21"/>
      <c r="E47" s="22">
        <v>3000000</v>
      </c>
      <c r="F47" s="34"/>
      <c r="G47" s="61">
        <f>'LIBRO DE PRESUPUESTO'!H488</f>
        <v>3000000</v>
      </c>
      <c r="H47" s="20">
        <f t="shared" si="11"/>
        <v>0</v>
      </c>
      <c r="I47" s="21">
        <f>OCTUBRE!I47+OCTUBRE!J47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 t="e">
        <f>M47/H47</f>
        <v>#DIV/0!</v>
      </c>
    </row>
    <row r="48" spans="1:14" ht="15" x14ac:dyDescent="0.25">
      <c r="A48" s="18" t="s">
        <v>84</v>
      </c>
      <c r="B48" s="31" t="s">
        <v>85</v>
      </c>
      <c r="C48" s="193">
        <v>0</v>
      </c>
      <c r="D48" s="21"/>
      <c r="E48" s="22"/>
      <c r="F48" s="34"/>
      <c r="G48" s="61"/>
      <c r="H48" s="20">
        <f t="shared" si="11"/>
        <v>0</v>
      </c>
      <c r="I48" s="21">
        <f>OCTUBRE!I48+OCTUBRE!J48</f>
        <v>0</v>
      </c>
      <c r="J48" s="21">
        <v>0</v>
      </c>
      <c r="K48" s="15">
        <v>0</v>
      </c>
      <c r="L48" s="23">
        <f t="shared" si="12"/>
        <v>0</v>
      </c>
      <c r="M48" s="24">
        <f t="shared" si="3"/>
        <v>0</v>
      </c>
      <c r="N48" s="17">
        <v>0</v>
      </c>
    </row>
    <row r="49" spans="1:16" ht="15" x14ac:dyDescent="0.25">
      <c r="A49" s="96">
        <v>2020120215</v>
      </c>
      <c r="B49" s="31" t="s">
        <v>118</v>
      </c>
      <c r="C49" s="193">
        <v>950000</v>
      </c>
      <c r="D49" s="21"/>
      <c r="E49" s="22"/>
      <c r="F49" s="34"/>
      <c r="G49" s="61"/>
      <c r="H49" s="20">
        <f t="shared" si="11"/>
        <v>950000</v>
      </c>
      <c r="I49" s="21">
        <f>OCTUBRE!I49+OCTUBRE!J49</f>
        <v>0</v>
      </c>
      <c r="J49" s="21">
        <v>0</v>
      </c>
      <c r="K49" s="15">
        <f t="shared" si="5"/>
        <v>0</v>
      </c>
      <c r="L49" s="23">
        <f t="shared" si="12"/>
        <v>0</v>
      </c>
      <c r="M49" s="24">
        <f t="shared" si="3"/>
        <v>950000</v>
      </c>
      <c r="N49" s="17">
        <f t="shared" ref="N49:N58" si="13">M49/H49</f>
        <v>1</v>
      </c>
    </row>
    <row r="50" spans="1:16" ht="15.75" x14ac:dyDescent="0.2">
      <c r="A50" s="63">
        <v>20201203</v>
      </c>
      <c r="B50" s="79" t="s">
        <v>190</v>
      </c>
      <c r="C50" s="296">
        <f t="shared" ref="C50:J50" si="14">C51</f>
        <v>0</v>
      </c>
      <c r="D50" s="296">
        <f t="shared" si="14"/>
        <v>0</v>
      </c>
      <c r="E50" s="296">
        <f t="shared" si="14"/>
        <v>0</v>
      </c>
      <c r="F50" s="296">
        <f t="shared" si="14"/>
        <v>1000000</v>
      </c>
      <c r="G50" s="296">
        <f t="shared" si="14"/>
        <v>0</v>
      </c>
      <c r="H50" s="296">
        <f t="shared" si="14"/>
        <v>1000000</v>
      </c>
      <c r="I50" s="297">
        <f t="shared" si="14"/>
        <v>741132</v>
      </c>
      <c r="J50" s="309">
        <f t="shared" si="14"/>
        <v>138397</v>
      </c>
      <c r="K50" s="298">
        <v>0</v>
      </c>
      <c r="L50" s="63">
        <f t="shared" si="12"/>
        <v>879529</v>
      </c>
      <c r="M50" s="299">
        <f>M51</f>
        <v>120471</v>
      </c>
      <c r="N50" s="310">
        <f t="shared" si="13"/>
        <v>0.12047099999999999</v>
      </c>
    </row>
    <row r="51" spans="1:16" ht="15" x14ac:dyDescent="0.25">
      <c r="A51" s="96">
        <v>2020120301</v>
      </c>
      <c r="B51" s="31" t="s">
        <v>191</v>
      </c>
      <c r="C51" s="295"/>
      <c r="D51" s="21"/>
      <c r="E51" s="22"/>
      <c r="F51" s="34">
        <v>1000000</v>
      </c>
      <c r="G51" s="61"/>
      <c r="H51" s="20">
        <f>C51-D51+E51+F51-G51</f>
        <v>1000000</v>
      </c>
      <c r="I51" s="21">
        <f>OCTUBRE!I51+OCTUBRE!J51</f>
        <v>741132</v>
      </c>
      <c r="J51" s="21">
        <f>'LIBRO DE PRESUPUESTO'!J505</f>
        <v>138397</v>
      </c>
      <c r="K51" s="15"/>
      <c r="L51" s="23">
        <f t="shared" si="12"/>
        <v>879529</v>
      </c>
      <c r="M51" s="24">
        <f t="shared" si="3"/>
        <v>120471</v>
      </c>
      <c r="N51" s="17">
        <f t="shared" si="13"/>
        <v>0.12047099999999999</v>
      </c>
    </row>
    <row r="52" spans="1:16" s="69" customFormat="1" ht="27.75" customHeight="1" x14ac:dyDescent="0.2">
      <c r="A52" s="63" t="s">
        <v>86</v>
      </c>
      <c r="B52" s="79" t="s">
        <v>87</v>
      </c>
      <c r="C52" s="70">
        <f>SUM(C53:C56)</f>
        <v>83777302.320260897</v>
      </c>
      <c r="D52" s="70">
        <f t="shared" ref="D52:J52" si="15">SUM(D53:D56)</f>
        <v>0</v>
      </c>
      <c r="E52" s="70">
        <f t="shared" si="15"/>
        <v>0</v>
      </c>
      <c r="F52" s="70">
        <f t="shared" si="15"/>
        <v>0</v>
      </c>
      <c r="G52" s="70">
        <f t="shared" si="15"/>
        <v>8976302</v>
      </c>
      <c r="H52" s="70">
        <f t="shared" si="15"/>
        <v>74801000.320260897</v>
      </c>
      <c r="I52" s="70">
        <f t="shared" si="15"/>
        <v>46698710</v>
      </c>
      <c r="J52" s="70">
        <f t="shared" si="15"/>
        <v>4446394</v>
      </c>
      <c r="K52" s="66">
        <f>L52/H52</f>
        <v>0.68374893091030808</v>
      </c>
      <c r="L52" s="70">
        <f>SUM(L53:L56)</f>
        <v>51145104</v>
      </c>
      <c r="M52" s="70">
        <f>SUM(M53:M56)</f>
        <v>23655896.320260897</v>
      </c>
      <c r="N52" s="68">
        <f t="shared" si="13"/>
        <v>0.31625106908969192</v>
      </c>
    </row>
    <row r="53" spans="1:16" ht="15" x14ac:dyDescent="0.25">
      <c r="A53" s="18" t="s">
        <v>88</v>
      </c>
      <c r="B53" s="31" t="s">
        <v>89</v>
      </c>
      <c r="C53" s="215">
        <v>13146617.570005897</v>
      </c>
      <c r="D53" s="311"/>
      <c r="E53" s="22"/>
      <c r="F53" s="34"/>
      <c r="G53" s="61"/>
      <c r="H53" s="20">
        <f>C53-D53+E53+F53-G53</f>
        <v>13146617.570005897</v>
      </c>
      <c r="I53" s="21">
        <f>OCTUBRE!I53+OCTUBRE!J53</f>
        <v>0</v>
      </c>
      <c r="J53" s="42">
        <v>0</v>
      </c>
      <c r="K53" s="15">
        <f t="shared" ref="K53:K66" si="16">L53/H53</f>
        <v>0</v>
      </c>
      <c r="L53" s="23">
        <f>J53+I53</f>
        <v>0</v>
      </c>
      <c r="M53" s="24">
        <f t="shared" si="3"/>
        <v>13146617.570005897</v>
      </c>
      <c r="N53" s="17">
        <f t="shared" si="13"/>
        <v>1</v>
      </c>
    </row>
    <row r="54" spans="1:16" ht="15" x14ac:dyDescent="0.25">
      <c r="A54" s="18" t="s">
        <v>90</v>
      </c>
      <c r="B54" s="31" t="s">
        <v>91</v>
      </c>
      <c r="C54" s="215">
        <v>43392204</v>
      </c>
      <c r="D54" s="311"/>
      <c r="E54" s="22"/>
      <c r="F54" s="34"/>
      <c r="G54" s="61">
        <f>'LIBRO DE PRESUPUESTO'!H538</f>
        <v>781111</v>
      </c>
      <c r="H54" s="20">
        <f>C54-D54+E54+F54-G54</f>
        <v>42611093</v>
      </c>
      <c r="I54" s="21">
        <f>OCTUBRE!I54+OCTUBRE!J54</f>
        <v>35494777</v>
      </c>
      <c r="J54" s="41">
        <f>'LIBRO DE PRESUPUESTO'!J539</f>
        <v>3558158</v>
      </c>
      <c r="K54" s="15">
        <f t="shared" si="16"/>
        <v>0.91649690844588283</v>
      </c>
      <c r="L54" s="23">
        <f>J54+I54</f>
        <v>39052935</v>
      </c>
      <c r="M54" s="24">
        <f t="shared" si="3"/>
        <v>3558158</v>
      </c>
      <c r="N54" s="17">
        <f t="shared" si="13"/>
        <v>8.3503091554117143E-2</v>
      </c>
      <c r="P54" s="35"/>
    </row>
    <row r="55" spans="1:16" ht="15" x14ac:dyDescent="0.25">
      <c r="A55" s="26">
        <v>2020110304</v>
      </c>
      <c r="B55" s="31" t="s">
        <v>92</v>
      </c>
      <c r="C55" s="215">
        <v>21030768.590477761</v>
      </c>
      <c r="D55" s="311"/>
      <c r="E55" s="22"/>
      <c r="F55" s="34"/>
      <c r="G55" s="61">
        <f>'LIBRO DE PRESUPUESTO'!H553</f>
        <v>8195191</v>
      </c>
      <c r="H55" s="20">
        <f>C55-D55+E55+F55-G55</f>
        <v>12835577.590477761</v>
      </c>
      <c r="I55" s="21">
        <f>OCTUBRE!I55+OCTUBRE!J55</f>
        <v>11059106</v>
      </c>
      <c r="J55" s="41">
        <f>'LIBRO DE PRESUPUESTO'!J554</f>
        <v>888236</v>
      </c>
      <c r="K55" s="15">
        <f t="shared" si="16"/>
        <v>0.93079893879207198</v>
      </c>
      <c r="L55" s="23">
        <f>J55+I55</f>
        <v>11947342</v>
      </c>
      <c r="M55" s="24">
        <f t="shared" si="3"/>
        <v>888235.59047776088</v>
      </c>
      <c r="N55" s="17">
        <f t="shared" si="13"/>
        <v>6.920106120792803E-2</v>
      </c>
      <c r="P55" s="35"/>
    </row>
    <row r="56" spans="1:16" ht="15" x14ac:dyDescent="0.25">
      <c r="A56" s="26">
        <v>2020110305</v>
      </c>
      <c r="B56" s="31" t="s">
        <v>93</v>
      </c>
      <c r="C56" s="215">
        <v>6207712.159777239</v>
      </c>
      <c r="D56" s="312"/>
      <c r="E56" s="22"/>
      <c r="F56" s="34"/>
      <c r="G56" s="44"/>
      <c r="H56" s="20">
        <f>C56-D56+E56+F56-G56</f>
        <v>6207712.159777239</v>
      </c>
      <c r="I56" s="21">
        <f>OCTUBRE!I56+OCTUBRE!J56</f>
        <v>144827</v>
      </c>
      <c r="J56" s="20">
        <v>0</v>
      </c>
      <c r="K56" s="15">
        <f t="shared" si="16"/>
        <v>2.3330173222013091E-2</v>
      </c>
      <c r="L56" s="23">
        <f>J56+I56</f>
        <v>144827</v>
      </c>
      <c r="M56" s="24">
        <f t="shared" si="3"/>
        <v>6062885.159777239</v>
      </c>
      <c r="N56" s="17">
        <f t="shared" si="13"/>
        <v>0.97666982677798686</v>
      </c>
      <c r="P56" s="35"/>
    </row>
    <row r="57" spans="1:16" s="69" customFormat="1" ht="27.75" customHeight="1" x14ac:dyDescent="0.2">
      <c r="A57" s="63">
        <v>20201104</v>
      </c>
      <c r="B57" s="80" t="s">
        <v>94</v>
      </c>
      <c r="C57" s="70">
        <f t="shared" ref="C57:J57" si="17">SUM(C58:C67)</f>
        <v>127422616</v>
      </c>
      <c r="D57" s="70">
        <f t="shared" si="17"/>
        <v>0</v>
      </c>
      <c r="E57" s="70">
        <f t="shared" si="17"/>
        <v>0</v>
      </c>
      <c r="F57" s="70">
        <f t="shared" si="17"/>
        <v>10120002</v>
      </c>
      <c r="G57" s="70">
        <f t="shared" si="17"/>
        <v>0</v>
      </c>
      <c r="H57" s="70">
        <f t="shared" si="17"/>
        <v>137542618</v>
      </c>
      <c r="I57" s="65">
        <f t="shared" si="17"/>
        <v>85857177</v>
      </c>
      <c r="J57" s="65">
        <f t="shared" si="17"/>
        <v>8347148</v>
      </c>
      <c r="K57" s="66">
        <f>L57/H57</f>
        <v>0.6849100763808349</v>
      </c>
      <c r="L57" s="67">
        <f>SUM(L58:L67)</f>
        <v>94204325</v>
      </c>
      <c r="M57" s="72">
        <f>SUM(M58:M67)</f>
        <v>43338293</v>
      </c>
      <c r="N57" s="68">
        <f t="shared" si="13"/>
        <v>0.3150899236191651</v>
      </c>
      <c r="P57" s="76"/>
    </row>
    <row r="58" spans="1:16" ht="15" x14ac:dyDescent="0.25">
      <c r="A58" s="75" t="s">
        <v>95</v>
      </c>
      <c r="B58" s="31" t="s">
        <v>96</v>
      </c>
      <c r="C58" s="215">
        <v>38584317</v>
      </c>
      <c r="D58" s="311"/>
      <c r="E58" s="22"/>
      <c r="F58" s="34"/>
      <c r="G58" s="61"/>
      <c r="H58" s="20">
        <f t="shared" ref="H58:H70" si="18">C58-D58+E58+F58-G58</f>
        <v>38584317</v>
      </c>
      <c r="I58" s="21">
        <f>OCTUBRE!I58+OCTUBRE!J58</f>
        <v>2096036</v>
      </c>
      <c r="J58" s="25">
        <v>0</v>
      </c>
      <c r="K58" s="15">
        <f t="shared" si="16"/>
        <v>5.4323522170937999E-2</v>
      </c>
      <c r="L58" s="23">
        <f t="shared" ref="L58:L70" si="19">J58+I58</f>
        <v>2096036</v>
      </c>
      <c r="M58" s="24">
        <f t="shared" si="3"/>
        <v>36488281</v>
      </c>
      <c r="N58" s="17">
        <f t="shared" si="13"/>
        <v>0.94567647782906195</v>
      </c>
      <c r="P58" s="35"/>
    </row>
    <row r="59" spans="1:16" ht="15" x14ac:dyDescent="0.25">
      <c r="A59" s="18" t="s">
        <v>97</v>
      </c>
      <c r="B59" s="31" t="s">
        <v>91</v>
      </c>
      <c r="C59" s="215">
        <v>0</v>
      </c>
      <c r="D59" s="311"/>
      <c r="E59" s="22"/>
      <c r="F59" s="34"/>
      <c r="G59" s="61"/>
      <c r="H59" s="20">
        <f t="shared" si="18"/>
        <v>0</v>
      </c>
      <c r="I59" s="21">
        <f>OCTUBRE!I59+OCTUBRE!J59</f>
        <v>0</v>
      </c>
      <c r="J59" s="21">
        <v>0</v>
      </c>
      <c r="K59" s="15">
        <v>0</v>
      </c>
      <c r="L59" s="16">
        <f t="shared" si="19"/>
        <v>0</v>
      </c>
      <c r="M59" s="24">
        <f t="shared" si="3"/>
        <v>0</v>
      </c>
      <c r="N59" s="17">
        <v>0</v>
      </c>
      <c r="P59" s="35"/>
    </row>
    <row r="60" spans="1:16" ht="15" x14ac:dyDescent="0.25">
      <c r="A60" s="18" t="s">
        <v>98</v>
      </c>
      <c r="B60" s="31" t="s">
        <v>99</v>
      </c>
      <c r="C60" s="215">
        <v>2664792</v>
      </c>
      <c r="D60" s="311"/>
      <c r="E60" s="22"/>
      <c r="F60" s="34">
        <f>'LIBRO DE PRESUPUESTO'!G594</f>
        <v>543700</v>
      </c>
      <c r="G60" s="61"/>
      <c r="H60" s="20">
        <f t="shared" si="18"/>
        <v>3208492</v>
      </c>
      <c r="I60" s="21">
        <f>OCTUBRE!I60+OCTUBRE!J60</f>
        <v>2770700</v>
      </c>
      <c r="J60" s="41">
        <f>'LIBRO DE PRESUPUESTO'!J596</f>
        <v>218900</v>
      </c>
      <c r="K60" s="15">
        <f t="shared" si="16"/>
        <v>0.931777296000738</v>
      </c>
      <c r="L60" s="23">
        <f t="shared" si="19"/>
        <v>2989600</v>
      </c>
      <c r="M60" s="24">
        <f t="shared" si="3"/>
        <v>218892</v>
      </c>
      <c r="N60" s="17">
        <f t="shared" ref="N60:N66" si="20">M60/H60</f>
        <v>6.822270399926196E-2</v>
      </c>
      <c r="P60" s="35"/>
    </row>
    <row r="61" spans="1:16" ht="15" x14ac:dyDescent="0.25">
      <c r="A61" s="18" t="s">
        <v>100</v>
      </c>
      <c r="B61" s="31" t="s">
        <v>92</v>
      </c>
      <c r="C61" s="215">
        <v>40228819</v>
      </c>
      <c r="D61" s="311"/>
      <c r="E61" s="22"/>
      <c r="F61" s="34">
        <f>'LIBRO DE PRESUPUESTO'!G612</f>
        <v>7162418</v>
      </c>
      <c r="G61" s="61"/>
      <c r="H61" s="20">
        <f t="shared" si="18"/>
        <v>47391237</v>
      </c>
      <c r="I61" s="21">
        <f>OCTUBRE!I61+OCTUBRE!J61</f>
        <v>39121141</v>
      </c>
      <c r="J61" s="37">
        <f>'LIBRO DE PRESUPUESTO'!J613</f>
        <v>4135048</v>
      </c>
      <c r="K61" s="15">
        <f t="shared" si="16"/>
        <v>0.91274656958205158</v>
      </c>
      <c r="L61" s="23">
        <f t="shared" si="19"/>
        <v>43256189</v>
      </c>
      <c r="M61" s="24">
        <f t="shared" si="3"/>
        <v>4135048</v>
      </c>
      <c r="N61" s="17">
        <f t="shared" si="20"/>
        <v>8.7253430417948363E-2</v>
      </c>
      <c r="P61" s="35"/>
    </row>
    <row r="62" spans="1:16" ht="15" x14ac:dyDescent="0.25">
      <c r="A62" s="18" t="s">
        <v>101</v>
      </c>
      <c r="B62" s="31" t="s">
        <v>102</v>
      </c>
      <c r="C62" s="215">
        <v>20419860</v>
      </c>
      <c r="D62" s="311"/>
      <c r="E62" s="22"/>
      <c r="F62" s="34">
        <f>'LIBRO DE PRESUPUESTO'!G627</f>
        <v>1032773</v>
      </c>
      <c r="G62" s="61"/>
      <c r="H62" s="20">
        <f t="shared" si="18"/>
        <v>21452633</v>
      </c>
      <c r="I62" s="21">
        <f>OCTUBRE!I62+OCTUBRE!J62</f>
        <v>18578100</v>
      </c>
      <c r="J62" s="41">
        <f>'LIBRO DE PRESUPUESTO'!J628</f>
        <v>1774100</v>
      </c>
      <c r="K62" s="15">
        <f t="shared" si="16"/>
        <v>0.94870405884443187</v>
      </c>
      <c r="L62" s="23">
        <f t="shared" si="19"/>
        <v>20352200</v>
      </c>
      <c r="M62" s="24">
        <f t="shared" si="3"/>
        <v>1100433</v>
      </c>
      <c r="N62" s="17">
        <f t="shared" si="20"/>
        <v>5.1295941155568174E-2</v>
      </c>
      <c r="P62" s="35"/>
    </row>
    <row r="63" spans="1:16" ht="15" x14ac:dyDescent="0.25">
      <c r="A63" s="18" t="s">
        <v>103</v>
      </c>
      <c r="B63" s="31" t="s">
        <v>104</v>
      </c>
      <c r="C63" s="215">
        <v>15314892</v>
      </c>
      <c r="D63" s="311"/>
      <c r="E63" s="22"/>
      <c r="F63" s="34">
        <f>'LIBRO DE PRESUPUESTO'!G643</f>
        <v>781111</v>
      </c>
      <c r="G63" s="61"/>
      <c r="H63" s="20">
        <f t="shared" si="18"/>
        <v>16096003</v>
      </c>
      <c r="I63" s="21">
        <f>OCTUBRE!I63+OCTUBRE!J63</f>
        <v>13966900</v>
      </c>
      <c r="J63" s="41">
        <f>'LIBRO DE PRESUPUESTO'!J644</f>
        <v>1330700</v>
      </c>
      <c r="K63" s="15">
        <f t="shared" si="16"/>
        <v>0.95039743717741598</v>
      </c>
      <c r="L63" s="23">
        <f t="shared" si="19"/>
        <v>15297600</v>
      </c>
      <c r="M63" s="24">
        <f t="shared" si="3"/>
        <v>798403</v>
      </c>
      <c r="N63" s="17">
        <f t="shared" si="20"/>
        <v>4.9602562822583969E-2</v>
      </c>
      <c r="P63" s="35"/>
    </row>
    <row r="64" spans="1:16" ht="15" x14ac:dyDescent="0.25">
      <c r="A64" s="18" t="s">
        <v>105</v>
      </c>
      <c r="B64" s="31" t="s">
        <v>106</v>
      </c>
      <c r="C64" s="215">
        <v>2552484</v>
      </c>
      <c r="D64" s="311"/>
      <c r="E64" s="22"/>
      <c r="F64" s="34">
        <f>'LIBRO DE PRESUPUESTO'!G659</f>
        <v>300000</v>
      </c>
      <c r="G64" s="61"/>
      <c r="H64" s="20">
        <f t="shared" si="18"/>
        <v>2852484</v>
      </c>
      <c r="I64" s="21">
        <f>OCTUBRE!I64+OCTUBRE!J64</f>
        <v>2332300</v>
      </c>
      <c r="J64" s="41">
        <f>'LIBRO DE PRESUPUESTO'!J660</f>
        <v>222200</v>
      </c>
      <c r="K64" s="15">
        <f t="shared" si="16"/>
        <v>0.89553525979462112</v>
      </c>
      <c r="L64" s="23">
        <f t="shared" si="19"/>
        <v>2554500</v>
      </c>
      <c r="M64" s="24">
        <f t="shared" si="3"/>
        <v>297984</v>
      </c>
      <c r="N64" s="17">
        <f t="shared" si="20"/>
        <v>0.10446474020537889</v>
      </c>
      <c r="P64" s="35"/>
    </row>
    <row r="65" spans="1:16" ht="15" x14ac:dyDescent="0.25">
      <c r="A65" s="18" t="s">
        <v>107</v>
      </c>
      <c r="B65" s="31" t="s">
        <v>108</v>
      </c>
      <c r="C65" s="215">
        <v>2552484</v>
      </c>
      <c r="D65" s="311"/>
      <c r="E65" s="22"/>
      <c r="F65" s="34">
        <f>'LIBRO DE PRESUPUESTO'!G674</f>
        <v>300000</v>
      </c>
      <c r="G65" s="61"/>
      <c r="H65" s="20">
        <f t="shared" si="18"/>
        <v>2852484</v>
      </c>
      <c r="I65" s="21">
        <f>OCTUBRE!I65+OCTUBRE!J65</f>
        <v>2332300</v>
      </c>
      <c r="J65" s="41">
        <f>'LIBRO DE PRESUPUESTO'!J675</f>
        <v>222200</v>
      </c>
      <c r="K65" s="15">
        <f t="shared" si="16"/>
        <v>0.89553525979462112</v>
      </c>
      <c r="L65" s="23">
        <f t="shared" si="19"/>
        <v>2554500</v>
      </c>
      <c r="M65" s="24">
        <f t="shared" si="3"/>
        <v>297984</v>
      </c>
      <c r="N65" s="17">
        <f t="shared" si="20"/>
        <v>0.10446474020537889</v>
      </c>
      <c r="P65" s="35"/>
    </row>
    <row r="66" spans="1:16" ht="15" x14ac:dyDescent="0.25">
      <c r="A66" s="18" t="s">
        <v>109</v>
      </c>
      <c r="B66" s="31" t="s">
        <v>110</v>
      </c>
      <c r="C66" s="215">
        <v>5104968</v>
      </c>
      <c r="D66" s="311"/>
      <c r="E66" s="22"/>
      <c r="F66" s="34"/>
      <c r="G66" s="61"/>
      <c r="H66" s="20">
        <f t="shared" si="18"/>
        <v>5104968</v>
      </c>
      <c r="I66" s="21">
        <f>OCTUBRE!I66+OCTUBRE!J66</f>
        <v>4659700</v>
      </c>
      <c r="J66" s="41">
        <f>'LIBRO DE PRESUPUESTO'!J695</f>
        <v>444000</v>
      </c>
      <c r="K66" s="15">
        <f t="shared" si="16"/>
        <v>0.99975161450571282</v>
      </c>
      <c r="L66" s="23">
        <f t="shared" si="19"/>
        <v>5103700</v>
      </c>
      <c r="M66" s="24">
        <f t="shared" si="3"/>
        <v>1268</v>
      </c>
      <c r="N66" s="17">
        <f t="shared" si="20"/>
        <v>2.4838549428713363E-4</v>
      </c>
      <c r="P66" s="35"/>
    </row>
    <row r="67" spans="1:16" ht="15" x14ac:dyDescent="0.25">
      <c r="A67" s="18" t="s">
        <v>111</v>
      </c>
      <c r="B67" s="31" t="s">
        <v>112</v>
      </c>
      <c r="C67" s="193">
        <v>0</v>
      </c>
      <c r="D67" s="21"/>
      <c r="E67" s="22"/>
      <c r="F67" s="34"/>
      <c r="G67" s="61"/>
      <c r="H67" s="20">
        <f t="shared" si="18"/>
        <v>0</v>
      </c>
      <c r="I67" s="21">
        <f>OCTUBRE!I67+OCTUBRE!J67</f>
        <v>0</v>
      </c>
      <c r="J67" s="21">
        <v>0</v>
      </c>
      <c r="K67" s="15">
        <v>0</v>
      </c>
      <c r="L67" s="16">
        <f t="shared" si="19"/>
        <v>0</v>
      </c>
      <c r="M67" s="24">
        <f t="shared" si="3"/>
        <v>0</v>
      </c>
      <c r="N67" s="17">
        <v>0</v>
      </c>
      <c r="P67" s="35"/>
    </row>
    <row r="68" spans="1:16" ht="27" customHeight="1" x14ac:dyDescent="0.2">
      <c r="A68" s="94">
        <v>20201301</v>
      </c>
      <c r="B68" s="64" t="s">
        <v>116</v>
      </c>
      <c r="C68" s="70">
        <f>C69</f>
        <v>0</v>
      </c>
      <c r="D68" s="71">
        <f>D69</f>
        <v>0</v>
      </c>
      <c r="E68" s="71">
        <f>E69+E70</f>
        <v>45000000</v>
      </c>
      <c r="F68" s="65">
        <f>F69</f>
        <v>0</v>
      </c>
      <c r="G68" s="71">
        <f>G69</f>
        <v>0</v>
      </c>
      <c r="H68" s="65">
        <f>SUM(H69:H70)</f>
        <v>45000000</v>
      </c>
      <c r="I68" s="65">
        <f>I69</f>
        <v>0</v>
      </c>
      <c r="J68" s="65">
        <f>J69</f>
        <v>0</v>
      </c>
      <c r="K68" s="66">
        <f>K69</f>
        <v>0</v>
      </c>
      <c r="L68" s="67">
        <f t="shared" si="19"/>
        <v>0</v>
      </c>
      <c r="M68" s="72">
        <f>SUM(M69:M70)</f>
        <v>45000000</v>
      </c>
      <c r="N68" s="68">
        <v>0</v>
      </c>
      <c r="P68" s="35"/>
    </row>
    <row r="69" spans="1:16" ht="15" x14ac:dyDescent="0.25">
      <c r="A69" s="95">
        <v>2020130101</v>
      </c>
      <c r="B69" s="87" t="s">
        <v>117</v>
      </c>
      <c r="C69" s="88">
        <v>0</v>
      </c>
      <c r="D69" s="89">
        <v>0</v>
      </c>
      <c r="E69" s="90">
        <v>0</v>
      </c>
      <c r="F69" s="91"/>
      <c r="G69" s="92"/>
      <c r="H69" s="20">
        <f t="shared" si="18"/>
        <v>0</v>
      </c>
      <c r="I69" s="21">
        <f>JUNIO!I68+JUNIO!J68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0</v>
      </c>
      <c r="N69" s="17">
        <v>0</v>
      </c>
      <c r="P69" s="35"/>
    </row>
    <row r="70" spans="1:16" ht="15" x14ac:dyDescent="0.25">
      <c r="A70" s="95">
        <v>45</v>
      </c>
      <c r="B70" s="87" t="s">
        <v>117</v>
      </c>
      <c r="C70" s="88">
        <v>0</v>
      </c>
      <c r="D70" s="89">
        <v>0</v>
      </c>
      <c r="E70" s="90">
        <v>45000000</v>
      </c>
      <c r="F70" s="91">
        <v>0</v>
      </c>
      <c r="G70" s="92">
        <v>0</v>
      </c>
      <c r="H70" s="20">
        <f t="shared" si="18"/>
        <v>45000000</v>
      </c>
      <c r="I70" s="21">
        <f>JUNIO!I69+JUNIO!J69</f>
        <v>0</v>
      </c>
      <c r="J70" s="89">
        <v>0</v>
      </c>
      <c r="K70" s="15">
        <v>0</v>
      </c>
      <c r="L70" s="23">
        <f t="shared" si="19"/>
        <v>0</v>
      </c>
      <c r="M70" s="24">
        <f t="shared" si="3"/>
        <v>45000000</v>
      </c>
      <c r="N70" s="17">
        <v>0</v>
      </c>
      <c r="P70" s="35"/>
    </row>
    <row r="71" spans="1:16" s="77" customFormat="1" ht="31.5" customHeight="1" thickBot="1" x14ac:dyDescent="0.25">
      <c r="A71" s="78"/>
      <c r="B71" s="82" t="s">
        <v>113</v>
      </c>
      <c r="C71" s="86">
        <f>C57+C52+C50+C31+C20+C25+C8</f>
        <v>973593066.23348069</v>
      </c>
      <c r="D71" s="83">
        <f>D9+D57</f>
        <v>0</v>
      </c>
      <c r="E71" s="83">
        <f t="shared" ref="E71:J71" si="21">E8+E20+E25+E31+E50+E52+E57+E68</f>
        <v>241428242</v>
      </c>
      <c r="F71" s="83">
        <f t="shared" si="21"/>
        <v>78105202</v>
      </c>
      <c r="G71" s="83">
        <f t="shared" si="21"/>
        <v>78105202</v>
      </c>
      <c r="H71" s="83">
        <f t="shared" si="21"/>
        <v>1215021308.2334807</v>
      </c>
      <c r="I71" s="83">
        <f t="shared" si="21"/>
        <v>896039160</v>
      </c>
      <c r="J71" s="83">
        <f t="shared" si="21"/>
        <v>67726430</v>
      </c>
      <c r="K71" s="84">
        <f>L71/H71</f>
        <v>0.7932087968080318</v>
      </c>
      <c r="L71" s="83">
        <f>L8+L20+L25+L31+L50+L52+L57+L68</f>
        <v>963765590</v>
      </c>
      <c r="M71" s="83">
        <f>M8+M20+M25+M31+M52+M50+M57+M68</f>
        <v>251255718.23348069</v>
      </c>
      <c r="N71" s="85">
        <f>M71/H71</f>
        <v>0.20679120319196817</v>
      </c>
    </row>
    <row r="72" spans="1:16" ht="35.25" customHeight="1" thickBot="1" x14ac:dyDescent="0.3">
      <c r="A72" s="81" t="s">
        <v>114</v>
      </c>
      <c r="B72" s="444" t="s">
        <v>115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6"/>
      <c r="P72" s="38"/>
    </row>
    <row r="74" spans="1:16" x14ac:dyDescent="0.2">
      <c r="D74" s="38"/>
      <c r="E74" s="38"/>
      <c r="F74" s="38"/>
      <c r="G74" s="38"/>
      <c r="M74" s="38"/>
    </row>
    <row r="75" spans="1:16" x14ac:dyDescent="0.2">
      <c r="G75" s="38"/>
      <c r="I75" s="38"/>
      <c r="J75" s="40"/>
      <c r="M75" s="38"/>
    </row>
    <row r="76" spans="1:16" x14ac:dyDescent="0.2">
      <c r="D76" s="38"/>
      <c r="J76" s="38"/>
      <c r="K76" s="38"/>
      <c r="M76" s="38"/>
    </row>
    <row r="77" spans="1:16" x14ac:dyDescent="0.2">
      <c r="H77" s="38"/>
      <c r="J77" s="38"/>
      <c r="M77" s="38"/>
    </row>
    <row r="78" spans="1:16" x14ac:dyDescent="0.2">
      <c r="J78" s="38"/>
    </row>
  </sheetData>
  <mergeCells count="5">
    <mergeCell ref="A1:N1"/>
    <mergeCell ref="A2:N2"/>
    <mergeCell ref="A3:N3"/>
    <mergeCell ref="K5:K6"/>
    <mergeCell ref="B72:N72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="90" zoomScaleNormal="90" zoomScaleSheetLayoutView="80" workbookViewId="0">
      <pane xSplit="2" ySplit="7" topLeftCell="C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7.625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279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45825683</v>
      </c>
      <c r="H8" s="65">
        <f t="shared" si="0"/>
        <v>643497385.91321981</v>
      </c>
      <c r="I8" s="65">
        <f>I9+I10+I11+I12+I13+I14+I15+I17+I19</f>
        <v>424867014</v>
      </c>
      <c r="J8" s="65">
        <f>SUM(J9:J19)</f>
        <v>55866941</v>
      </c>
      <c r="K8" s="66">
        <f>L8/H8</f>
        <v>0.7470643479270177</v>
      </c>
      <c r="L8" s="67">
        <f>I8+J8</f>
        <v>480733955</v>
      </c>
      <c r="M8" s="65">
        <f>SUM(M9:M19)</f>
        <v>162763430.91321975</v>
      </c>
      <c r="N8" s="68">
        <f>M8/H8</f>
        <v>0.25293565207298224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PRESUPUESTO'!H9+'LIBRO DE PRESUPUESTO'!H17</f>
        <v>45281983</v>
      </c>
      <c r="H9" s="20">
        <f>C9-D9+E9+F9-G9</f>
        <v>492825346.20000005</v>
      </c>
      <c r="I9" s="21">
        <f>SEPTIEMBRE!I9+SEPTIEMBRE!J9</f>
        <v>366178916</v>
      </c>
      <c r="J9" s="41">
        <f>'LIBRO DE PRESUPUESTO'!J19</f>
        <v>41853557</v>
      </c>
      <c r="K9" s="15">
        <f>L9/H9</f>
        <v>0.82794538906367632</v>
      </c>
      <c r="L9" s="23">
        <f t="shared" ref="L9:L15" si="1">J9+I9</f>
        <v>408032473</v>
      </c>
      <c r="M9" s="24">
        <f>H9-L9</f>
        <v>84792873.200000048</v>
      </c>
      <c r="N9" s="17">
        <f>M9/H9</f>
        <v>0.17205461093632371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SEPTIEMBRE!I10+SEPTIEMBRE!J10</f>
        <v>0</v>
      </c>
      <c r="J10" s="21"/>
      <c r="K10" s="15">
        <v>0</v>
      </c>
      <c r="L10" s="23">
        <f t="shared" si="1"/>
        <v>0</v>
      </c>
      <c r="M10" s="24">
        <f t="shared" ref="M10:M70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SEPTIEMBRE!I11+SEPTIEMBRE!J11</f>
        <v>764495</v>
      </c>
      <c r="J11" s="21">
        <f>'LIBRO DE PRESUPUESTO'!J40</f>
        <v>88211</v>
      </c>
      <c r="K11" s="15">
        <f>L11/H11</f>
        <v>0.79137859092353524</v>
      </c>
      <c r="L11" s="23">
        <f t="shared" si="1"/>
        <v>852706</v>
      </c>
      <c r="M11" s="24">
        <f t="shared" si="3"/>
        <v>224788.39999999991</v>
      </c>
      <c r="N11" s="17">
        <f t="shared" ref="N11:N22" si="4">M11/H11</f>
        <v>0.20862140907646473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>
        <f>'LIBRO DE PRESUPUESTO'!H57</f>
        <v>543700</v>
      </c>
      <c r="H12" s="20">
        <f t="shared" si="2"/>
        <v>940349.60000000009</v>
      </c>
      <c r="I12" s="21">
        <f>SEPTIEMBRE!I12+SEPTIEMBRE!J12</f>
        <v>609722</v>
      </c>
      <c r="J12" s="21">
        <f>'LIBRO DE PRESUPUESTO'!J58</f>
        <v>60170</v>
      </c>
      <c r="K12" s="15">
        <f t="shared" ref="K12:K49" si="5">L12/H12</f>
        <v>0.71238611682293473</v>
      </c>
      <c r="L12" s="23">
        <f t="shared" si="1"/>
        <v>669892</v>
      </c>
      <c r="M12" s="24">
        <f t="shared" si="3"/>
        <v>270457.60000000009</v>
      </c>
      <c r="N12" s="17">
        <f t="shared" si="4"/>
        <v>0.28761388317706527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SEPTIEMBRE!I13+SEPTIEMBRE!J13</f>
        <v>11434057</v>
      </c>
      <c r="J13" s="41">
        <v>0</v>
      </c>
      <c r="K13" s="15">
        <f t="shared" si="5"/>
        <v>0.76040795444536402</v>
      </c>
      <c r="L13" s="23">
        <f t="shared" si="1"/>
        <v>11434057</v>
      </c>
      <c r="M13" s="24">
        <f t="shared" si="3"/>
        <v>3602683.3880459368</v>
      </c>
      <c r="N13" s="17">
        <f t="shared" si="4"/>
        <v>0.23959204555463598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SEPTIEMBRE!I14+SEPTIEMBRE!J14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SEPTIEMBRE!I15+SEPTIEMBRE!J15</f>
        <v>8921740</v>
      </c>
      <c r="J15" s="41">
        <f>'LIBRO DE PRESUPUESTO'!J96+'LIBRO DE PRESUPUESTO'!J97</f>
        <v>4967677</v>
      </c>
      <c r="K15" s="15">
        <f t="shared" si="5"/>
        <v>0.60597479511705565</v>
      </c>
      <c r="L15" s="23">
        <f t="shared" si="1"/>
        <v>13889417</v>
      </c>
      <c r="M15" s="24">
        <f t="shared" si="3"/>
        <v>9031366.3591774926</v>
      </c>
      <c r="N15" s="17">
        <f t="shared" si="4"/>
        <v>0.39402520488294435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SEPTIEMBRE!I16+SEPTIEMBRE!J16</f>
        <v>0</v>
      </c>
      <c r="J16" s="41"/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SEPTIEMBRE!I17+SEPTIEMBRE!J17</f>
        <v>14161161</v>
      </c>
      <c r="J17" s="41">
        <f>'LIBRO DE PRESUPUESTO'!J113+'LIBRO DE PRESUPUESTO'!J114</f>
        <v>8897326</v>
      </c>
      <c r="K17" s="15">
        <f t="shared" si="5"/>
        <v>0.62112726683475672</v>
      </c>
      <c r="L17" s="23">
        <f>J17+I17</f>
        <v>23058487</v>
      </c>
      <c r="M17" s="24">
        <f t="shared" si="3"/>
        <v>14065123.942899451</v>
      </c>
      <c r="N17" s="17">
        <f t="shared" si="4"/>
        <v>0.37887273316524334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SEPTIEMBRE!I18+SEPTIEMBRE!J18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SEPTIEMBRE!I19+SEPTIEMBRE!J19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10000000</v>
      </c>
      <c r="H20" s="65">
        <f t="shared" si="7"/>
        <v>50500000</v>
      </c>
      <c r="I20" s="65">
        <f t="shared" si="7"/>
        <v>41332100</v>
      </c>
      <c r="J20" s="65">
        <f>SUM(J21:J24)</f>
        <v>0</v>
      </c>
      <c r="K20" s="66">
        <f>L20/H20</f>
        <v>0.8184574257425743</v>
      </c>
      <c r="L20" s="72">
        <f t="shared" si="6"/>
        <v>41332100</v>
      </c>
      <c r="M20" s="72">
        <f>SUM(M21:M24)</f>
        <v>9167900</v>
      </c>
      <c r="N20" s="68">
        <f t="shared" si="4"/>
        <v>0.18154257425742573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SEPTIEMBRE!I21+SEPTIEMBRE!J21</f>
        <v>40500000</v>
      </c>
      <c r="J21" s="21">
        <v>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>
        <f>'LIBRO DE PRESUPUESTO'!H140</f>
        <v>10000000</v>
      </c>
      <c r="H22" s="20">
        <f t="shared" si="2"/>
        <v>10000000</v>
      </c>
      <c r="I22" s="21">
        <f>SEPTIEMBRE!I22+SEPTIEMBRE!J22</f>
        <v>832100</v>
      </c>
      <c r="J22" s="21">
        <v>0</v>
      </c>
      <c r="K22" s="15">
        <v>0</v>
      </c>
      <c r="L22" s="23">
        <f t="shared" si="6"/>
        <v>832100</v>
      </c>
      <c r="M22" s="24">
        <f t="shared" si="3"/>
        <v>9167900</v>
      </c>
      <c r="N22" s="17">
        <f t="shared" si="4"/>
        <v>0.91678999999999999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SEPTIEMBRE!I23+SEPTIEMBRE!J23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SEPTIEMBRE!I24+SEPTIEMBRE!J24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1000000</v>
      </c>
      <c r="G25" s="65">
        <f t="shared" si="8"/>
        <v>6000000</v>
      </c>
      <c r="H25" s="65">
        <f t="shared" si="8"/>
        <v>34200000</v>
      </c>
      <c r="I25" s="65">
        <f t="shared" si="8"/>
        <v>32909600</v>
      </c>
      <c r="J25" s="65">
        <f t="shared" si="8"/>
        <v>0</v>
      </c>
      <c r="K25" s="66">
        <f>L25/H25</f>
        <v>0.96226900584795316</v>
      </c>
      <c r="L25" s="72">
        <f t="shared" si="6"/>
        <v>32909600</v>
      </c>
      <c r="M25" s="65">
        <f>SUM(M26:M30)</f>
        <v>1290400</v>
      </c>
      <c r="N25" s="68">
        <f>M25/H25</f>
        <v>3.7730994152046782E-2</v>
      </c>
    </row>
    <row r="26" spans="1:14" ht="15" x14ac:dyDescent="0.25">
      <c r="A26" s="18">
        <v>2020120101</v>
      </c>
      <c r="B26" s="31" t="s">
        <v>49</v>
      </c>
      <c r="C26" s="193">
        <v>3000000</v>
      </c>
      <c r="D26" s="21"/>
      <c r="E26" s="22"/>
      <c r="F26" s="34"/>
      <c r="G26" s="61">
        <v>3000000</v>
      </c>
      <c r="H26" s="20">
        <f>C26-D26+E26+F26-G26</f>
        <v>0</v>
      </c>
      <c r="I26" s="21">
        <f>SEPTIEMBRE!I26+SEPTIEMBRE!J26</f>
        <v>0</v>
      </c>
      <c r="J26" s="25">
        <v>0</v>
      </c>
      <c r="K26" s="15">
        <v>0</v>
      </c>
      <c r="L26" s="16">
        <f t="shared" si="6"/>
        <v>0</v>
      </c>
      <c r="M26" s="24">
        <f t="shared" si="3"/>
        <v>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>
        <v>3000000</v>
      </c>
      <c r="H27" s="20">
        <f>C27-D27+E27+F27-G27</f>
        <v>0</v>
      </c>
      <c r="I27" s="21">
        <f>SEPTIEMBRE!I27+SEPTIEMBRE!J27</f>
        <v>0</v>
      </c>
      <c r="J27" s="25">
        <v>0</v>
      </c>
      <c r="K27" s="15">
        <v>0</v>
      </c>
      <c r="L27" s="16">
        <f t="shared" si="6"/>
        <v>0</v>
      </c>
      <c r="M27" s="24">
        <f t="shared" si="3"/>
        <v>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PRESUPUESTO'!G173</f>
        <v>1000000</v>
      </c>
      <c r="G28" s="61"/>
      <c r="H28" s="20">
        <f>C28-D28+E28+F28-G28</f>
        <v>33000000</v>
      </c>
      <c r="I28" s="21">
        <f>SEPTIEMBRE!I28+SEPTIEMBRE!J28</f>
        <v>32909600</v>
      </c>
      <c r="J28" s="21"/>
      <c r="K28" s="15">
        <f t="shared" si="5"/>
        <v>0.99726060606060607</v>
      </c>
      <c r="L28" s="23">
        <f t="shared" si="6"/>
        <v>32909600</v>
      </c>
      <c r="M28" s="24">
        <f t="shared" si="3"/>
        <v>90400</v>
      </c>
      <c r="N28" s="33">
        <f>M28/H28</f>
        <v>2.7393939393939395E-3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SEPTIEMBRE!I29+SEPTIEMBRE!J29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SEPTIEMBRE!I30+SEPTIEMBRE!J30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SUM(C32:C49)</f>
        <v>75448328</v>
      </c>
      <c r="D31" s="65">
        <f t="shared" si="9"/>
        <v>0</v>
      </c>
      <c r="E31" s="65">
        <f t="shared" si="9"/>
        <v>122000000</v>
      </c>
      <c r="F31" s="65">
        <f>SUM(F32:F49)</f>
        <v>34631976</v>
      </c>
      <c r="G31" s="65">
        <f t="shared" si="9"/>
        <v>3000000</v>
      </c>
      <c r="H31" s="65">
        <f t="shared" si="9"/>
        <v>229080304</v>
      </c>
      <c r="I31" s="65">
        <f t="shared" si="9"/>
        <v>136677802</v>
      </c>
      <c r="J31" s="65">
        <f t="shared" si="9"/>
        <v>71088684</v>
      </c>
      <c r="K31" s="66">
        <f>L31/H31</f>
        <v>0.90695918580586488</v>
      </c>
      <c r="L31" s="67">
        <f>I31+J31</f>
        <v>207766486</v>
      </c>
      <c r="M31" s="72">
        <f>SUM(M32:M49)</f>
        <v>21313818</v>
      </c>
      <c r="N31" s="68">
        <f t="shared" ref="N31:N38" si="10">M31/H31</f>
        <v>9.3040814194135166E-2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9" si="11">C32-D32+E32+F32-G32</f>
        <v>16180000</v>
      </c>
      <c r="I32" s="21">
        <f>SEPTIEMBRE!I32+SEPTIEMBRE!J32</f>
        <v>16180000</v>
      </c>
      <c r="J32" s="21">
        <v>0</v>
      </c>
      <c r="K32" s="15">
        <f t="shared" si="5"/>
        <v>1</v>
      </c>
      <c r="L32" s="23">
        <f t="shared" ref="L32:L51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SEPTIEMBRE!I33+SEPTIEMBRE!J33</f>
        <v>6220900</v>
      </c>
      <c r="J33" s="21"/>
      <c r="K33" s="15">
        <f t="shared" si="5"/>
        <v>0.41472666666666669</v>
      </c>
      <c r="L33" s="23">
        <f t="shared" si="12"/>
        <v>6220900</v>
      </c>
      <c r="M33" s="24">
        <f t="shared" si="3"/>
        <v>8779100</v>
      </c>
      <c r="N33" s="33">
        <f t="shared" si="10"/>
        <v>0.58527333333333331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>
        <f>'LIBRO DE PRESUPUESTO'!G299</f>
        <v>15000000</v>
      </c>
      <c r="G34" s="61"/>
      <c r="H34" s="20">
        <f t="shared" si="11"/>
        <v>54298328</v>
      </c>
      <c r="I34" s="21">
        <f>SEPTIEMBRE!I34+SEPTIEMBRE!J34</f>
        <v>42465788</v>
      </c>
      <c r="J34" s="21">
        <v>11832540</v>
      </c>
      <c r="K34" s="15">
        <f t="shared" si="5"/>
        <v>1</v>
      </c>
      <c r="L34" s="23">
        <f t="shared" si="12"/>
        <v>54298328</v>
      </c>
      <c r="M34" s="24">
        <f t="shared" si="3"/>
        <v>0</v>
      </c>
      <c r="N34" s="33">
        <f t="shared" si="10"/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>
        <f>'LIBRO DE PRESUPUESTO'!G311</f>
        <v>11000000</v>
      </c>
      <c r="G35" s="61"/>
      <c r="H35" s="20">
        <f t="shared" si="11"/>
        <v>61000000</v>
      </c>
      <c r="I35" s="21">
        <f>SEPTIEMBRE!I35+SEPTIEMBRE!J35</f>
        <v>50000000</v>
      </c>
      <c r="J35" s="21">
        <v>9638080</v>
      </c>
      <c r="K35" s="15">
        <f t="shared" si="5"/>
        <v>0.97767344262295086</v>
      </c>
      <c r="L35" s="23">
        <f t="shared" si="12"/>
        <v>59638080</v>
      </c>
      <c r="M35" s="24">
        <f t="shared" si="3"/>
        <v>1361920</v>
      </c>
      <c r="N35" s="33">
        <f t="shared" si="10"/>
        <v>2.232655737704918E-2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SEPTIEMBRE!I36+SEPTIEMBRE!J36</f>
        <v>739100</v>
      </c>
      <c r="J36" s="41">
        <v>0</v>
      </c>
      <c r="K36" s="15">
        <f t="shared" si="5"/>
        <v>0.61591666666666667</v>
      </c>
      <c r="L36" s="23">
        <f t="shared" si="12"/>
        <v>739100</v>
      </c>
      <c r="M36" s="24">
        <f t="shared" si="3"/>
        <v>460900</v>
      </c>
      <c r="N36" s="33">
        <f t="shared" si="10"/>
        <v>0.38408333333333333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SEPTIEMBRE!I37+SEPTIEMBRE!J37</f>
        <v>5909200</v>
      </c>
      <c r="J37" s="41">
        <f>'LIBRO DE PRESUPUESTO'!J372</f>
        <v>607700</v>
      </c>
      <c r="K37" s="15">
        <f t="shared" si="5"/>
        <v>0.60341666666666671</v>
      </c>
      <c r="L37" s="23">
        <f t="shared" si="12"/>
        <v>6516900</v>
      </c>
      <c r="M37" s="24">
        <f t="shared" si="3"/>
        <v>4283100</v>
      </c>
      <c r="N37" s="17">
        <f t="shared" si="10"/>
        <v>0.39658333333333334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SEPTIEMBRE!I38+SEPTIEMBRE!J38</f>
        <v>4262172</v>
      </c>
      <c r="J38" s="41">
        <f>'LIBRO DE PRESUPUESTO'!J404+'LIBRO DE PRESUPUESTO'!J405</f>
        <v>382084</v>
      </c>
      <c r="K38" s="15">
        <f t="shared" si="5"/>
        <v>0.70367515151515148</v>
      </c>
      <c r="L38" s="23">
        <f t="shared" si="12"/>
        <v>4644256</v>
      </c>
      <c r="M38" s="24">
        <f t="shared" si="3"/>
        <v>1955744</v>
      </c>
      <c r="N38" s="17">
        <f t="shared" si="10"/>
        <v>0.29632484848484847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SEPTIEMBRE!I39+SEPTIEMBRE!J39</f>
        <v>1162390</v>
      </c>
      <c r="J39" s="25">
        <f>'LIBRO DE PRESUPUESTO'!J431+'LIBRO DE PRESUPUESTO'!J432</f>
        <v>132290</v>
      </c>
      <c r="K39" s="15">
        <f t="shared" si="5"/>
        <v>0.67431249999999998</v>
      </c>
      <c r="L39" s="23">
        <f t="shared" si="12"/>
        <v>1294680</v>
      </c>
      <c r="M39" s="24">
        <f t="shared" si="3"/>
        <v>625320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SEPTIEMBRE!I40+SEPTIEMBRE!J40</f>
        <v>500000</v>
      </c>
      <c r="J40" s="21">
        <v>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SEPTIEMBRE!I41+SEPTIEMBRE!J41</f>
        <v>0</v>
      </c>
      <c r="J41" s="21"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11"/>
        <v>8631976</v>
      </c>
      <c r="I42" s="21">
        <f>SEPTIEMBRE!I42+SEPTIEMBRE!J42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SEPTIEMBRE!I43+SEPTIEMBRE!J43</f>
        <v>0</v>
      </c>
      <c r="J43" s="43">
        <v>25000000</v>
      </c>
      <c r="K43" s="15">
        <f t="shared" si="5"/>
        <v>1</v>
      </c>
      <c r="L43" s="23">
        <f t="shared" si="12"/>
        <v>25000000</v>
      </c>
      <c r="M43" s="24">
        <f t="shared" si="3"/>
        <v>0</v>
      </c>
      <c r="N43" s="17">
        <f>M43/H43</f>
        <v>0</v>
      </c>
    </row>
    <row r="44" spans="1:14" ht="15" x14ac:dyDescent="0.25">
      <c r="A44" s="18">
        <v>45</v>
      </c>
      <c r="B44" s="32" t="s">
        <v>77</v>
      </c>
      <c r="C44" s="193"/>
      <c r="D44" s="21"/>
      <c r="E44" s="22"/>
      <c r="F44" s="34">
        <v>2000000</v>
      </c>
      <c r="G44" s="61"/>
      <c r="H44" s="20">
        <f t="shared" si="11"/>
        <v>2000000</v>
      </c>
      <c r="I44" s="21">
        <v>0</v>
      </c>
      <c r="J44" s="43">
        <v>2000000</v>
      </c>
      <c r="K44" s="15"/>
      <c r="L44" s="23">
        <f t="shared" si="12"/>
        <v>2000000</v>
      </c>
      <c r="M44" s="24">
        <f t="shared" si="3"/>
        <v>0</v>
      </c>
      <c r="N44" s="17"/>
    </row>
    <row r="45" spans="1:14" ht="15" x14ac:dyDescent="0.25">
      <c r="A45" s="18" t="s">
        <v>78</v>
      </c>
      <c r="B45" s="31" t="s">
        <v>79</v>
      </c>
      <c r="C45" s="193">
        <v>0</v>
      </c>
      <c r="D45" s="21"/>
      <c r="E45" s="22">
        <v>3000000</v>
      </c>
      <c r="F45" s="34"/>
      <c r="G45" s="61"/>
      <c r="H45" s="20">
        <f t="shared" si="11"/>
        <v>3000000</v>
      </c>
      <c r="I45" s="21">
        <f>SEPTIEMBRE!I44+SEPTIEMBRE!J44</f>
        <v>1452000</v>
      </c>
      <c r="J45" s="43">
        <f>'LIBRO DE PRESUPUESTO'!J477</f>
        <v>595000</v>
      </c>
      <c r="K45" s="15">
        <f t="shared" si="5"/>
        <v>0.68233333333333335</v>
      </c>
      <c r="L45" s="23">
        <f t="shared" si="12"/>
        <v>2047000</v>
      </c>
      <c r="M45" s="24">
        <f t="shared" si="3"/>
        <v>953000</v>
      </c>
      <c r="N45" s="17">
        <f>M45/H45</f>
        <v>0.31766666666666665</v>
      </c>
    </row>
    <row r="46" spans="1:14" ht="15" x14ac:dyDescent="0.25">
      <c r="A46" s="18" t="s">
        <v>80</v>
      </c>
      <c r="B46" s="31" t="s">
        <v>81</v>
      </c>
      <c r="C46" s="193">
        <v>0</v>
      </c>
      <c r="D46" s="21"/>
      <c r="E46" s="22">
        <v>15000000</v>
      </c>
      <c r="F46" s="34">
        <f>'LIBRO DE PRESUPUESTO'!G482</f>
        <v>6000000</v>
      </c>
      <c r="G46" s="61"/>
      <c r="H46" s="20">
        <f t="shared" si="11"/>
        <v>21000000</v>
      </c>
      <c r="I46" s="21">
        <f>SEPTIEMBRE!I45+SEPTIEMBRE!J45</f>
        <v>0</v>
      </c>
      <c r="J46" s="21">
        <f>'LIBRO DE PRESUPUESTO'!J483</f>
        <v>20900990</v>
      </c>
      <c r="K46" s="15">
        <f t="shared" si="5"/>
        <v>0.99528523809523806</v>
      </c>
      <c r="L46" s="23">
        <f t="shared" si="12"/>
        <v>20900990</v>
      </c>
      <c r="M46" s="24">
        <f t="shared" si="3"/>
        <v>99010</v>
      </c>
      <c r="N46" s="17">
        <f>M46/H46</f>
        <v>4.7147619047619048E-3</v>
      </c>
    </row>
    <row r="47" spans="1:14" ht="15" x14ac:dyDescent="0.25">
      <c r="A47" s="18">
        <v>2020120213</v>
      </c>
      <c r="B47" s="31" t="s">
        <v>83</v>
      </c>
      <c r="C47" s="193">
        <v>0</v>
      </c>
      <c r="D47" s="21"/>
      <c r="E47" s="22">
        <v>3000000</v>
      </c>
      <c r="F47" s="34"/>
      <c r="G47" s="61">
        <f>'LIBRO DE PRESUPUESTO'!H488</f>
        <v>3000000</v>
      </c>
      <c r="H47" s="20">
        <f t="shared" si="11"/>
        <v>0</v>
      </c>
      <c r="I47" s="21">
        <f>SEPTIEMBRE!I46+SEPTIEMBRE!J46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 t="e">
        <f>M47/H47</f>
        <v>#DIV/0!</v>
      </c>
    </row>
    <row r="48" spans="1:14" ht="15" x14ac:dyDescent="0.25">
      <c r="A48" s="18" t="s">
        <v>84</v>
      </c>
      <c r="B48" s="31" t="s">
        <v>85</v>
      </c>
      <c r="C48" s="193">
        <v>0</v>
      </c>
      <c r="D48" s="21"/>
      <c r="E48" s="22"/>
      <c r="F48" s="34"/>
      <c r="G48" s="61"/>
      <c r="H48" s="20">
        <f t="shared" si="11"/>
        <v>0</v>
      </c>
      <c r="I48" s="21">
        <f>SEPTIEMBRE!I47+SEPTIEMBRE!J47</f>
        <v>0</v>
      </c>
      <c r="J48" s="21">
        <v>0</v>
      </c>
      <c r="K48" s="15">
        <v>0</v>
      </c>
      <c r="L48" s="23">
        <f t="shared" si="12"/>
        <v>0</v>
      </c>
      <c r="M48" s="24">
        <f t="shared" si="3"/>
        <v>0</v>
      </c>
      <c r="N48" s="17">
        <v>0</v>
      </c>
    </row>
    <row r="49" spans="1:16" ht="15" x14ac:dyDescent="0.25">
      <c r="A49" s="96">
        <v>2020120215</v>
      </c>
      <c r="B49" s="31" t="s">
        <v>118</v>
      </c>
      <c r="C49" s="193">
        <v>950000</v>
      </c>
      <c r="D49" s="21"/>
      <c r="E49" s="22"/>
      <c r="F49" s="34"/>
      <c r="G49" s="61"/>
      <c r="H49" s="20">
        <f t="shared" si="11"/>
        <v>950000</v>
      </c>
      <c r="I49" s="21">
        <f>SEPTIEMBRE!I48+SEPTIEMBRE!J48</f>
        <v>0</v>
      </c>
      <c r="J49" s="21">
        <v>0</v>
      </c>
      <c r="K49" s="15">
        <f t="shared" si="5"/>
        <v>0</v>
      </c>
      <c r="L49" s="23">
        <f t="shared" si="12"/>
        <v>0</v>
      </c>
      <c r="M49" s="24">
        <f t="shared" si="3"/>
        <v>950000</v>
      </c>
      <c r="N49" s="17">
        <f t="shared" ref="N49:N58" si="13">M49/H49</f>
        <v>1</v>
      </c>
    </row>
    <row r="50" spans="1:16" ht="15.75" x14ac:dyDescent="0.2">
      <c r="A50" s="63">
        <v>20201203</v>
      </c>
      <c r="B50" s="79" t="s">
        <v>190</v>
      </c>
      <c r="C50" s="296">
        <f t="shared" ref="C50:J50" si="14">C51</f>
        <v>0</v>
      </c>
      <c r="D50" s="296">
        <f t="shared" si="14"/>
        <v>0</v>
      </c>
      <c r="E50" s="296">
        <f t="shared" si="14"/>
        <v>0</v>
      </c>
      <c r="F50" s="296">
        <f t="shared" si="14"/>
        <v>1000000</v>
      </c>
      <c r="G50" s="296">
        <f t="shared" si="14"/>
        <v>0</v>
      </c>
      <c r="H50" s="296">
        <f t="shared" si="14"/>
        <v>1000000</v>
      </c>
      <c r="I50" s="297">
        <f t="shared" si="14"/>
        <v>573580</v>
      </c>
      <c r="J50" s="309">
        <f t="shared" si="14"/>
        <v>167552</v>
      </c>
      <c r="K50" s="298">
        <v>0</v>
      </c>
      <c r="L50" s="63">
        <f t="shared" si="12"/>
        <v>741132</v>
      </c>
      <c r="M50" s="299">
        <f>M51</f>
        <v>258868</v>
      </c>
      <c r="N50" s="310">
        <f t="shared" si="13"/>
        <v>0.25886799999999999</v>
      </c>
    </row>
    <row r="51" spans="1:16" ht="15" x14ac:dyDescent="0.25">
      <c r="A51" s="96">
        <v>2020120301</v>
      </c>
      <c r="B51" s="31" t="s">
        <v>191</v>
      </c>
      <c r="C51" s="295"/>
      <c r="D51" s="21"/>
      <c r="E51" s="22"/>
      <c r="F51" s="34">
        <v>1000000</v>
      </c>
      <c r="G51" s="61"/>
      <c r="H51" s="20">
        <f>C51-D51+E51+F51-G51</f>
        <v>1000000</v>
      </c>
      <c r="I51" s="21">
        <f>SEPTIEMBRE!I50+SEPTIEMBRE!J50</f>
        <v>573580</v>
      </c>
      <c r="J51" s="21">
        <f>'LIBRO DE PRESUPUESTO'!J504</f>
        <v>167552</v>
      </c>
      <c r="K51" s="15"/>
      <c r="L51" s="23">
        <f t="shared" si="12"/>
        <v>741132</v>
      </c>
      <c r="M51" s="24">
        <f t="shared" si="3"/>
        <v>258868</v>
      </c>
      <c r="N51" s="17">
        <f t="shared" si="13"/>
        <v>0.25886799999999999</v>
      </c>
    </row>
    <row r="52" spans="1:16" s="69" customFormat="1" ht="27.75" customHeight="1" x14ac:dyDescent="0.2">
      <c r="A52" s="63" t="s">
        <v>86</v>
      </c>
      <c r="B52" s="79" t="s">
        <v>87</v>
      </c>
      <c r="C52" s="70">
        <f>SUM(C53:C56)</f>
        <v>83777302.320260897</v>
      </c>
      <c r="D52" s="70">
        <f t="shared" ref="D52:J52" si="15">SUM(D53:D56)</f>
        <v>0</v>
      </c>
      <c r="E52" s="70">
        <f t="shared" si="15"/>
        <v>0</v>
      </c>
      <c r="F52" s="70">
        <f t="shared" si="15"/>
        <v>0</v>
      </c>
      <c r="G52" s="70">
        <f t="shared" si="15"/>
        <v>0</v>
      </c>
      <c r="H52" s="70">
        <f t="shared" si="15"/>
        <v>83777302.320260897</v>
      </c>
      <c r="I52" s="70">
        <f t="shared" si="15"/>
        <v>42252316</v>
      </c>
      <c r="J52" s="70">
        <f t="shared" si="15"/>
        <v>4446394</v>
      </c>
      <c r="K52" s="66">
        <f>L52/H52</f>
        <v>0.55741482127798569</v>
      </c>
      <c r="L52" s="70">
        <f>SUM(L53:L56)</f>
        <v>46698710</v>
      </c>
      <c r="M52" s="70">
        <f>SUM(M53:M56)</f>
        <v>37078592.320260897</v>
      </c>
      <c r="N52" s="68">
        <f t="shared" si="13"/>
        <v>0.44258517872201436</v>
      </c>
    </row>
    <row r="53" spans="1:16" ht="15" x14ac:dyDescent="0.25">
      <c r="A53" s="18" t="s">
        <v>88</v>
      </c>
      <c r="B53" s="31" t="s">
        <v>89</v>
      </c>
      <c r="C53" s="215">
        <v>13146617.570005897</v>
      </c>
      <c r="D53" s="311"/>
      <c r="E53" s="22"/>
      <c r="F53" s="34"/>
      <c r="G53" s="61"/>
      <c r="H53" s="20">
        <f>C53-D53+E53+F53-G53</f>
        <v>13146617.570005897</v>
      </c>
      <c r="I53" s="21">
        <f>SEPTIEMBRE!I52+SEPTIEMBRE!J52</f>
        <v>0</v>
      </c>
      <c r="J53" s="42">
        <v>0</v>
      </c>
      <c r="K53" s="15">
        <f t="shared" ref="K53:K66" si="16">L53/H53</f>
        <v>0</v>
      </c>
      <c r="L53" s="23">
        <f>J53+I53</f>
        <v>0</v>
      </c>
      <c r="M53" s="24">
        <f t="shared" si="3"/>
        <v>13146617.570005897</v>
      </c>
      <c r="N53" s="17">
        <f t="shared" si="13"/>
        <v>1</v>
      </c>
    </row>
    <row r="54" spans="1:16" ht="15" x14ac:dyDescent="0.25">
      <c r="A54" s="18" t="s">
        <v>90</v>
      </c>
      <c r="B54" s="31" t="s">
        <v>91</v>
      </c>
      <c r="C54" s="215">
        <v>43392204</v>
      </c>
      <c r="D54" s="311"/>
      <c r="E54" s="22"/>
      <c r="F54" s="34"/>
      <c r="G54" s="61"/>
      <c r="H54" s="20">
        <f>C54-D54+E54+F54-G54</f>
        <v>43392204</v>
      </c>
      <c r="I54" s="21">
        <f>SEPTIEMBRE!I53+SEPTIEMBRE!J53</f>
        <v>31936619</v>
      </c>
      <c r="J54" s="41">
        <f>'LIBRO DE PRESUPUESTO'!J537</f>
        <v>3558158</v>
      </c>
      <c r="K54" s="15">
        <f t="shared" si="16"/>
        <v>0.8179989428515777</v>
      </c>
      <c r="L54" s="23">
        <f>J54+I54</f>
        <v>35494777</v>
      </c>
      <c r="M54" s="24">
        <f t="shared" si="3"/>
        <v>7897427</v>
      </c>
      <c r="N54" s="17">
        <f t="shared" si="13"/>
        <v>0.18200105714842232</v>
      </c>
      <c r="P54" s="35"/>
    </row>
    <row r="55" spans="1:16" ht="15" x14ac:dyDescent="0.25">
      <c r="A55" s="26">
        <v>2020110304</v>
      </c>
      <c r="B55" s="31" t="s">
        <v>92</v>
      </c>
      <c r="C55" s="215">
        <v>21030768.590477761</v>
      </c>
      <c r="D55" s="311"/>
      <c r="E55" s="22"/>
      <c r="F55" s="34"/>
      <c r="G55" s="61"/>
      <c r="H55" s="20">
        <f>C55-D55+E55+F55-G55</f>
        <v>21030768.590477761</v>
      </c>
      <c r="I55" s="21">
        <f>SEPTIEMBRE!I54+SEPTIEMBRE!J54</f>
        <v>10170870</v>
      </c>
      <c r="J55" s="41">
        <f>'LIBRO DE PRESUPUESTO'!J552</f>
        <v>888236</v>
      </c>
      <c r="K55" s="15">
        <f t="shared" si="16"/>
        <v>0.52585362976259953</v>
      </c>
      <c r="L55" s="23">
        <f>J55+I55</f>
        <v>11059106</v>
      </c>
      <c r="M55" s="24">
        <f t="shared" si="3"/>
        <v>9971662.5904777609</v>
      </c>
      <c r="N55" s="17">
        <f t="shared" si="13"/>
        <v>0.47414637023740047</v>
      </c>
      <c r="P55" s="35"/>
    </row>
    <row r="56" spans="1:16" ht="15" x14ac:dyDescent="0.25">
      <c r="A56" s="26">
        <v>2020110305</v>
      </c>
      <c r="B56" s="31" t="s">
        <v>93</v>
      </c>
      <c r="C56" s="215">
        <v>6207712.159777239</v>
      </c>
      <c r="D56" s="312"/>
      <c r="E56" s="22"/>
      <c r="F56" s="34"/>
      <c r="G56" s="44"/>
      <c r="H56" s="20">
        <f>C56-D56+E56+F56-G56</f>
        <v>6207712.159777239</v>
      </c>
      <c r="I56" s="21">
        <f>SEPTIEMBRE!I55+SEPTIEMBRE!J55</f>
        <v>144827</v>
      </c>
      <c r="J56" s="20">
        <v>0</v>
      </c>
      <c r="K56" s="15">
        <f t="shared" si="16"/>
        <v>2.3330173222013091E-2</v>
      </c>
      <c r="L56" s="23">
        <f>J56+I56</f>
        <v>144827</v>
      </c>
      <c r="M56" s="24">
        <f t="shared" si="3"/>
        <v>6062885.159777239</v>
      </c>
      <c r="N56" s="17">
        <f t="shared" si="13"/>
        <v>0.97666982677798686</v>
      </c>
      <c r="P56" s="35"/>
    </row>
    <row r="57" spans="1:16" s="69" customFormat="1" ht="27.75" customHeight="1" x14ac:dyDescent="0.2">
      <c r="A57" s="63">
        <v>20201104</v>
      </c>
      <c r="B57" s="80" t="s">
        <v>94</v>
      </c>
      <c r="C57" s="70">
        <f t="shared" ref="C57:J57" si="17">SUM(C58:C67)</f>
        <v>127422616</v>
      </c>
      <c r="D57" s="70">
        <f t="shared" si="17"/>
        <v>0</v>
      </c>
      <c r="E57" s="70">
        <f t="shared" si="17"/>
        <v>0</v>
      </c>
      <c r="F57" s="70">
        <f t="shared" si="17"/>
        <v>543700</v>
      </c>
      <c r="G57" s="70">
        <f t="shared" si="17"/>
        <v>0</v>
      </c>
      <c r="H57" s="70">
        <f t="shared" si="17"/>
        <v>127966316</v>
      </c>
      <c r="I57" s="65">
        <f t="shared" si="17"/>
        <v>76675929</v>
      </c>
      <c r="J57" s="65">
        <f t="shared" si="17"/>
        <v>9181248</v>
      </c>
      <c r="K57" s="66">
        <f>L57/H57</f>
        <v>0.67093575625010571</v>
      </c>
      <c r="L57" s="67">
        <f>SUM(L58:L67)</f>
        <v>85857177</v>
      </c>
      <c r="M57" s="72">
        <f>SUM(M58:M67)</f>
        <v>42109139</v>
      </c>
      <c r="N57" s="68">
        <f t="shared" si="13"/>
        <v>0.32906424374989429</v>
      </c>
      <c r="P57" s="76"/>
    </row>
    <row r="58" spans="1:16" ht="15" x14ac:dyDescent="0.25">
      <c r="A58" s="75" t="s">
        <v>95</v>
      </c>
      <c r="B58" s="31" t="s">
        <v>96</v>
      </c>
      <c r="C58" s="215">
        <v>38584317</v>
      </c>
      <c r="D58" s="311"/>
      <c r="E58" s="22"/>
      <c r="F58" s="34"/>
      <c r="G58" s="61"/>
      <c r="H58" s="20">
        <f t="shared" ref="H58:H70" si="18">C58-D58+E58+F58-G58</f>
        <v>38584317</v>
      </c>
      <c r="I58" s="21">
        <f>SEPTIEMBRE!I57+SEPTIEMBRE!J57</f>
        <v>2096036</v>
      </c>
      <c r="J58" s="25">
        <v>0</v>
      </c>
      <c r="K58" s="15">
        <f t="shared" si="16"/>
        <v>5.4323522170937999E-2</v>
      </c>
      <c r="L58" s="23">
        <f t="shared" ref="L58:L70" si="19">J58+I58</f>
        <v>2096036</v>
      </c>
      <c r="M58" s="24">
        <f t="shared" si="3"/>
        <v>36488281</v>
      </c>
      <c r="N58" s="17">
        <f t="shared" si="13"/>
        <v>0.94567647782906195</v>
      </c>
      <c r="P58" s="35"/>
    </row>
    <row r="59" spans="1:16" ht="15" x14ac:dyDescent="0.25">
      <c r="A59" s="18" t="s">
        <v>97</v>
      </c>
      <c r="B59" s="31" t="s">
        <v>91</v>
      </c>
      <c r="C59" s="215">
        <v>0</v>
      </c>
      <c r="D59" s="311"/>
      <c r="E59" s="22"/>
      <c r="F59" s="34"/>
      <c r="G59" s="61"/>
      <c r="H59" s="20">
        <f t="shared" si="18"/>
        <v>0</v>
      </c>
      <c r="I59" s="21">
        <f>SEPTIEMBRE!I58+SEPTIEMBRE!J58</f>
        <v>0</v>
      </c>
      <c r="J59" s="21"/>
      <c r="K59" s="15">
        <v>0</v>
      </c>
      <c r="L59" s="16">
        <f t="shared" si="19"/>
        <v>0</v>
      </c>
      <c r="M59" s="24">
        <f t="shared" si="3"/>
        <v>0</v>
      </c>
      <c r="N59" s="17">
        <v>0</v>
      </c>
      <c r="P59" s="35"/>
    </row>
    <row r="60" spans="1:16" ht="15" x14ac:dyDescent="0.25">
      <c r="A60" s="18" t="s">
        <v>98</v>
      </c>
      <c r="B60" s="31" t="s">
        <v>99</v>
      </c>
      <c r="C60" s="215">
        <v>2664792</v>
      </c>
      <c r="D60" s="311"/>
      <c r="E60" s="22"/>
      <c r="F60" s="34">
        <f>'LIBRO DE PRESUPUESTO'!G594</f>
        <v>543700</v>
      </c>
      <c r="G60" s="61"/>
      <c r="H60" s="20">
        <f t="shared" si="18"/>
        <v>3208492</v>
      </c>
      <c r="I60" s="21">
        <f>SEPTIEMBRE!I59+SEPTIEMBRE!J59</f>
        <v>2551800</v>
      </c>
      <c r="J60" s="41">
        <f>'LIBRO DE PRESUPUESTO'!J595</f>
        <v>218900</v>
      </c>
      <c r="K60" s="15">
        <f t="shared" si="16"/>
        <v>0.86355209861829174</v>
      </c>
      <c r="L60" s="23">
        <f t="shared" si="19"/>
        <v>2770700</v>
      </c>
      <c r="M60" s="24">
        <f t="shared" si="3"/>
        <v>437792</v>
      </c>
      <c r="N60" s="17">
        <f t="shared" ref="N60:N66" si="20">M60/H60</f>
        <v>0.13644790138170829</v>
      </c>
      <c r="P60" s="35"/>
    </row>
    <row r="61" spans="1:16" ht="15" x14ac:dyDescent="0.25">
      <c r="A61" s="18" t="s">
        <v>100</v>
      </c>
      <c r="B61" s="31" t="s">
        <v>92</v>
      </c>
      <c r="C61" s="215">
        <v>40228819</v>
      </c>
      <c r="D61" s="311"/>
      <c r="E61" s="22"/>
      <c r="F61" s="34"/>
      <c r="G61" s="61"/>
      <c r="H61" s="20">
        <f t="shared" si="18"/>
        <v>40228819</v>
      </c>
      <c r="I61" s="21">
        <f>SEPTIEMBRE!I60+SEPTIEMBRE!J60</f>
        <v>34986093</v>
      </c>
      <c r="J61" s="37">
        <f>'LIBRO DE PRESUPUESTO'!J611</f>
        <v>4135048</v>
      </c>
      <c r="K61" s="15">
        <f t="shared" si="16"/>
        <v>0.97246556007522866</v>
      </c>
      <c r="L61" s="23">
        <f t="shared" si="19"/>
        <v>39121141</v>
      </c>
      <c r="M61" s="24">
        <f t="shared" si="3"/>
        <v>1107678</v>
      </c>
      <c r="N61" s="17">
        <f t="shared" si="20"/>
        <v>2.7534439924771344E-2</v>
      </c>
      <c r="P61" s="35"/>
    </row>
    <row r="62" spans="1:16" ht="15" x14ac:dyDescent="0.25">
      <c r="A62" s="18" t="s">
        <v>101</v>
      </c>
      <c r="B62" s="31" t="s">
        <v>102</v>
      </c>
      <c r="C62" s="215">
        <v>20419860</v>
      </c>
      <c r="D62" s="311"/>
      <c r="E62" s="22"/>
      <c r="F62" s="34"/>
      <c r="G62" s="61"/>
      <c r="H62" s="20">
        <f t="shared" si="18"/>
        <v>20419860</v>
      </c>
      <c r="I62" s="21">
        <f>SEPTIEMBRE!I61+SEPTIEMBRE!J61</f>
        <v>16433600</v>
      </c>
      <c r="J62" s="41">
        <f>'LIBRO DE PRESUPUESTO'!J626</f>
        <v>2144500</v>
      </c>
      <c r="K62" s="15">
        <f t="shared" si="16"/>
        <v>0.90980545410203595</v>
      </c>
      <c r="L62" s="23">
        <f t="shared" si="19"/>
        <v>18578100</v>
      </c>
      <c r="M62" s="24">
        <f t="shared" si="3"/>
        <v>1841760</v>
      </c>
      <c r="N62" s="17">
        <f t="shared" si="20"/>
        <v>9.0194545897964037E-2</v>
      </c>
      <c r="P62" s="35"/>
    </row>
    <row r="63" spans="1:16" ht="15" x14ac:dyDescent="0.25">
      <c r="A63" s="18" t="s">
        <v>103</v>
      </c>
      <c r="B63" s="31" t="s">
        <v>104</v>
      </c>
      <c r="C63" s="215">
        <v>15314892</v>
      </c>
      <c r="D63" s="311"/>
      <c r="E63" s="22"/>
      <c r="F63" s="34"/>
      <c r="G63" s="61"/>
      <c r="H63" s="20">
        <f t="shared" si="18"/>
        <v>15314892</v>
      </c>
      <c r="I63" s="21">
        <f>SEPTIEMBRE!I62+SEPTIEMBRE!J62</f>
        <v>12358500</v>
      </c>
      <c r="J63" s="41">
        <f>'LIBRO DE PRESUPUESTO'!J642</f>
        <v>1608400</v>
      </c>
      <c r="K63" s="15">
        <f t="shared" si="16"/>
        <v>0.9119816189366533</v>
      </c>
      <c r="L63" s="23">
        <f t="shared" si="19"/>
        <v>13966900</v>
      </c>
      <c r="M63" s="24">
        <f t="shared" si="3"/>
        <v>1347992</v>
      </c>
      <c r="N63" s="17">
        <f t="shared" si="20"/>
        <v>8.801838106334671E-2</v>
      </c>
      <c r="P63" s="35"/>
    </row>
    <row r="64" spans="1:16" ht="15" x14ac:dyDescent="0.25">
      <c r="A64" s="18" t="s">
        <v>105</v>
      </c>
      <c r="B64" s="31" t="s">
        <v>106</v>
      </c>
      <c r="C64" s="215">
        <v>2552484</v>
      </c>
      <c r="D64" s="311"/>
      <c r="E64" s="22"/>
      <c r="F64" s="34"/>
      <c r="G64" s="61"/>
      <c r="H64" s="20">
        <f t="shared" si="18"/>
        <v>2552484</v>
      </c>
      <c r="I64" s="21">
        <f>SEPTIEMBRE!I63+SEPTIEMBRE!J63</f>
        <v>2063700</v>
      </c>
      <c r="J64" s="41">
        <f>'LIBRO DE PRESUPUESTO'!J658</f>
        <v>268600</v>
      </c>
      <c r="K64" s="15">
        <f t="shared" si="16"/>
        <v>0.9137373632900343</v>
      </c>
      <c r="L64" s="23">
        <f t="shared" si="19"/>
        <v>2332300</v>
      </c>
      <c r="M64" s="24">
        <f t="shared" si="3"/>
        <v>220184</v>
      </c>
      <c r="N64" s="17">
        <f t="shared" si="20"/>
        <v>8.6262636709965659E-2</v>
      </c>
      <c r="P64" s="35"/>
    </row>
    <row r="65" spans="1:16" ht="15" x14ac:dyDescent="0.25">
      <c r="A65" s="18" t="s">
        <v>107</v>
      </c>
      <c r="B65" s="31" t="s">
        <v>108</v>
      </c>
      <c r="C65" s="215">
        <v>2552484</v>
      </c>
      <c r="D65" s="311"/>
      <c r="E65" s="22"/>
      <c r="F65" s="34"/>
      <c r="G65" s="61"/>
      <c r="H65" s="20">
        <f t="shared" si="18"/>
        <v>2552484</v>
      </c>
      <c r="I65" s="21">
        <f>SEPTIEMBRE!I64+SEPTIEMBRE!J64</f>
        <v>2063700</v>
      </c>
      <c r="J65" s="41">
        <f>'LIBRO DE PRESUPUESTO'!J673</f>
        <v>268600</v>
      </c>
      <c r="K65" s="15">
        <f t="shared" si="16"/>
        <v>0.9137373632900343</v>
      </c>
      <c r="L65" s="23">
        <f t="shared" si="19"/>
        <v>2332300</v>
      </c>
      <c r="M65" s="24">
        <f t="shared" si="3"/>
        <v>220184</v>
      </c>
      <c r="N65" s="17">
        <f t="shared" si="20"/>
        <v>8.6262636709965659E-2</v>
      </c>
      <c r="P65" s="35"/>
    </row>
    <row r="66" spans="1:16" ht="15" x14ac:dyDescent="0.25">
      <c r="A66" s="18" t="s">
        <v>109</v>
      </c>
      <c r="B66" s="31" t="s">
        <v>110</v>
      </c>
      <c r="C66" s="215">
        <v>5104968</v>
      </c>
      <c r="D66" s="311"/>
      <c r="E66" s="22"/>
      <c r="F66" s="34"/>
      <c r="G66" s="61"/>
      <c r="H66" s="20">
        <f t="shared" si="18"/>
        <v>5104968</v>
      </c>
      <c r="I66" s="21">
        <f>SEPTIEMBRE!I65+SEPTIEMBRE!J65</f>
        <v>4122500</v>
      </c>
      <c r="J66" s="41">
        <f>'LIBRO DE PRESUPUESTO'!J693+'LIBRO DE PRESUPUESTO'!J694</f>
        <v>537200</v>
      </c>
      <c r="K66" s="15">
        <f t="shared" si="16"/>
        <v>0.91277751398245788</v>
      </c>
      <c r="L66" s="23">
        <f t="shared" si="19"/>
        <v>4659700</v>
      </c>
      <c r="M66" s="24">
        <f t="shared" si="3"/>
        <v>445268</v>
      </c>
      <c r="N66" s="17">
        <f t="shared" si="20"/>
        <v>8.7222486017542122E-2</v>
      </c>
      <c r="P66" s="35"/>
    </row>
    <row r="67" spans="1:16" ht="15" x14ac:dyDescent="0.25">
      <c r="A67" s="18" t="s">
        <v>111</v>
      </c>
      <c r="B67" s="31" t="s">
        <v>112</v>
      </c>
      <c r="C67" s="193">
        <v>0</v>
      </c>
      <c r="D67" s="21"/>
      <c r="E67" s="22"/>
      <c r="F67" s="34"/>
      <c r="G67" s="61"/>
      <c r="H67" s="20">
        <f t="shared" si="18"/>
        <v>0</v>
      </c>
      <c r="I67" s="21">
        <f>SEPTIEMBRE!I66+SEPTIEMBRE!J66</f>
        <v>0</v>
      </c>
      <c r="J67" s="21">
        <v>0</v>
      </c>
      <c r="K67" s="15">
        <v>0</v>
      </c>
      <c r="L67" s="16">
        <f t="shared" si="19"/>
        <v>0</v>
      </c>
      <c r="M67" s="24">
        <f t="shared" si="3"/>
        <v>0</v>
      </c>
      <c r="N67" s="17">
        <v>0</v>
      </c>
      <c r="P67" s="35"/>
    </row>
    <row r="68" spans="1:16" ht="27" customHeight="1" x14ac:dyDescent="0.2">
      <c r="A68" s="94">
        <v>20201301</v>
      </c>
      <c r="B68" s="64" t="s">
        <v>116</v>
      </c>
      <c r="C68" s="70">
        <f>C69</f>
        <v>0</v>
      </c>
      <c r="D68" s="71">
        <f>D69</f>
        <v>0</v>
      </c>
      <c r="E68" s="71">
        <f>E69+E70</f>
        <v>45000000</v>
      </c>
      <c r="F68" s="65">
        <f>F69</f>
        <v>0</v>
      </c>
      <c r="G68" s="71">
        <f>G69</f>
        <v>0</v>
      </c>
      <c r="H68" s="65">
        <f>SUM(H69:H70)</f>
        <v>45000000</v>
      </c>
      <c r="I68" s="65">
        <f>I69</f>
        <v>0</v>
      </c>
      <c r="J68" s="65">
        <f>J69</f>
        <v>0</v>
      </c>
      <c r="K68" s="66">
        <f>K69</f>
        <v>0</v>
      </c>
      <c r="L68" s="67">
        <f t="shared" si="19"/>
        <v>0</v>
      </c>
      <c r="M68" s="72">
        <f>SUM(M69:M70)</f>
        <v>45000000</v>
      </c>
      <c r="N68" s="68">
        <v>0</v>
      </c>
      <c r="P68" s="35"/>
    </row>
    <row r="69" spans="1:16" ht="15" x14ac:dyDescent="0.25">
      <c r="A69" s="95">
        <v>2020130101</v>
      </c>
      <c r="B69" s="87" t="s">
        <v>117</v>
      </c>
      <c r="C69" s="88">
        <v>0</v>
      </c>
      <c r="D69" s="89">
        <v>0</v>
      </c>
      <c r="E69" s="90">
        <v>0</v>
      </c>
      <c r="F69" s="91"/>
      <c r="G69" s="92"/>
      <c r="H69" s="20">
        <f t="shared" si="18"/>
        <v>0</v>
      </c>
      <c r="I69" s="21">
        <f>JUNIO!I68+JUNIO!J68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0</v>
      </c>
      <c r="N69" s="17">
        <v>0</v>
      </c>
      <c r="P69" s="35"/>
    </row>
    <row r="70" spans="1:16" ht="15" x14ac:dyDescent="0.25">
      <c r="A70" s="95">
        <v>45</v>
      </c>
      <c r="B70" s="87" t="s">
        <v>117</v>
      </c>
      <c r="C70" s="88">
        <v>0</v>
      </c>
      <c r="D70" s="89">
        <v>0</v>
      </c>
      <c r="E70" s="90">
        <v>45000000</v>
      </c>
      <c r="F70" s="91">
        <v>0</v>
      </c>
      <c r="G70" s="92">
        <v>0</v>
      </c>
      <c r="H70" s="20">
        <f t="shared" si="18"/>
        <v>45000000</v>
      </c>
      <c r="I70" s="21">
        <f>JUNIO!I69+JUNIO!J69</f>
        <v>0</v>
      </c>
      <c r="J70" s="89">
        <v>0</v>
      </c>
      <c r="K70" s="15">
        <v>0</v>
      </c>
      <c r="L70" s="23">
        <f t="shared" si="19"/>
        <v>0</v>
      </c>
      <c r="M70" s="24">
        <f t="shared" si="3"/>
        <v>45000000</v>
      </c>
      <c r="N70" s="17">
        <v>0</v>
      </c>
      <c r="P70" s="35"/>
    </row>
    <row r="71" spans="1:16" s="77" customFormat="1" ht="31.5" customHeight="1" thickBot="1" x14ac:dyDescent="0.25">
      <c r="A71" s="78"/>
      <c r="B71" s="82" t="s">
        <v>113</v>
      </c>
      <c r="C71" s="86">
        <f>C57+C52+C50+C31+C20+C25+C8</f>
        <v>973593066.23348069</v>
      </c>
      <c r="D71" s="83">
        <f>D9+D57</f>
        <v>0</v>
      </c>
      <c r="E71" s="83">
        <f t="shared" ref="E71:J71" si="21">E8+E20+E25+E31+E50+E52+E57+E68</f>
        <v>241428242</v>
      </c>
      <c r="F71" s="83">
        <f t="shared" si="21"/>
        <v>64825683</v>
      </c>
      <c r="G71" s="83">
        <f t="shared" si="21"/>
        <v>64825683</v>
      </c>
      <c r="H71" s="83">
        <f t="shared" si="21"/>
        <v>1215021308.2334807</v>
      </c>
      <c r="I71" s="83">
        <f t="shared" si="21"/>
        <v>755288341</v>
      </c>
      <c r="J71" s="83">
        <f t="shared" si="21"/>
        <v>140750819</v>
      </c>
      <c r="K71" s="84">
        <f>L71/H71</f>
        <v>0.73746785667714021</v>
      </c>
      <c r="L71" s="83">
        <f>L8+L20+L25+L31+L50+L52+L57+L68</f>
        <v>896039160</v>
      </c>
      <c r="M71" s="83">
        <f>M8+M20+M25+M31+M52+M50+M57+M68</f>
        <v>318982148.23348063</v>
      </c>
      <c r="N71" s="85">
        <f>M71/H71</f>
        <v>0.26253214332285968</v>
      </c>
    </row>
    <row r="72" spans="1:16" ht="35.25" customHeight="1" thickBot="1" x14ac:dyDescent="0.3">
      <c r="A72" s="81" t="s">
        <v>114</v>
      </c>
      <c r="B72" s="444" t="s">
        <v>115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6"/>
      <c r="P72" s="38"/>
    </row>
    <row r="74" spans="1:16" x14ac:dyDescent="0.2">
      <c r="D74" s="38"/>
      <c r="E74" s="38"/>
      <c r="F74" s="38"/>
      <c r="G74" s="38"/>
      <c r="M74" s="38"/>
    </row>
    <row r="75" spans="1:16" x14ac:dyDescent="0.2">
      <c r="G75" s="38"/>
      <c r="I75" s="38"/>
      <c r="J75" s="40"/>
      <c r="M75" s="38"/>
    </row>
    <row r="76" spans="1:16" x14ac:dyDescent="0.2">
      <c r="D76" s="38"/>
      <c r="J76" s="38"/>
      <c r="K76" s="38"/>
      <c r="M76" s="38"/>
    </row>
    <row r="77" spans="1:16" x14ac:dyDescent="0.2">
      <c r="H77" s="38"/>
      <c r="J77" s="38"/>
      <c r="M77" s="38"/>
    </row>
    <row r="78" spans="1:16" x14ac:dyDescent="0.2">
      <c r="J78" s="38"/>
    </row>
  </sheetData>
  <mergeCells count="5">
    <mergeCell ref="A1:N1"/>
    <mergeCell ref="A2:N2"/>
    <mergeCell ref="A3:N3"/>
    <mergeCell ref="K5:K6"/>
    <mergeCell ref="B72:N72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278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45281983</v>
      </c>
      <c r="H8" s="65">
        <f t="shared" si="0"/>
        <v>644041085.91321981</v>
      </c>
      <c r="I8" s="65">
        <f>I9+I10+I11+I12+I13+I14+I15+I17+I19</f>
        <v>382865076</v>
      </c>
      <c r="J8" s="65">
        <f>SUM(J9:J19)</f>
        <v>42001938</v>
      </c>
      <c r="K8" s="66">
        <f>L8/H8</f>
        <v>0.65968930133946135</v>
      </c>
      <c r="L8" s="67">
        <f>I8+J8</f>
        <v>424867014</v>
      </c>
      <c r="M8" s="65">
        <f>SUM(M9:M19)</f>
        <v>219174071.91321978</v>
      </c>
      <c r="N8" s="68">
        <f>M8/H8</f>
        <v>0.34031069866053859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PRESUPUESTO'!H9+'LIBRO DE PRESUPUESTO'!H17</f>
        <v>45281983</v>
      </c>
      <c r="H9" s="20">
        <f>C9-D9+E9+F9-G9</f>
        <v>492825346.20000005</v>
      </c>
      <c r="I9" s="21">
        <f>AGOSTO!I9+AGOSTO!J9</f>
        <v>324325359</v>
      </c>
      <c r="J9" s="41">
        <f>'LIBRO DE PRESUPUESTO'!J18</f>
        <v>41853557</v>
      </c>
      <c r="K9" s="15">
        <f>L9/H9</f>
        <v>0.7430196495035708</v>
      </c>
      <c r="L9" s="23">
        <f t="shared" ref="L9:L15" si="1">J9+I9</f>
        <v>366178916</v>
      </c>
      <c r="M9" s="24">
        <f>H9-L9</f>
        <v>126646430.20000005</v>
      </c>
      <c r="N9" s="17">
        <f>M9/H9</f>
        <v>0.25698035049642914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AGOSTO!I10+AGOSTO!J10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AGOSTO!I11+AGOSTO!J11</f>
        <v>676284</v>
      </c>
      <c r="J11" s="21">
        <f>'LIBRO DE PRESUPUESTO'!J39</f>
        <v>88211</v>
      </c>
      <c r="K11" s="15">
        <f>L11/H11</f>
        <v>0.70951180813561543</v>
      </c>
      <c r="L11" s="23">
        <f t="shared" si="1"/>
        <v>764495</v>
      </c>
      <c r="M11" s="24">
        <f t="shared" si="3"/>
        <v>312999.39999999991</v>
      </c>
      <c r="N11" s="17">
        <f t="shared" ref="N11:N22" si="4">M11/H11</f>
        <v>0.29048819186438457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2"/>
        <v>1484049.6</v>
      </c>
      <c r="I12" s="21">
        <f>AGOSTO!I12+AGOSTO!J12</f>
        <v>549552</v>
      </c>
      <c r="J12" s="21">
        <f>'LIBRO DE PRESUPUESTO'!J56</f>
        <v>60170</v>
      </c>
      <c r="K12" s="15">
        <f t="shared" ref="K12:K48" si="5">L12/H12</f>
        <v>0.4108501494828744</v>
      </c>
      <c r="L12" s="23">
        <f t="shared" si="1"/>
        <v>609722</v>
      </c>
      <c r="M12" s="24">
        <f t="shared" si="3"/>
        <v>874327.60000000009</v>
      </c>
      <c r="N12" s="17">
        <f t="shared" si="4"/>
        <v>0.58914985051712565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AGOSTO!I13+AGOSTO!J13</f>
        <v>11434057</v>
      </c>
      <c r="J13" s="41">
        <v>0</v>
      </c>
      <c r="K13" s="15">
        <f t="shared" si="5"/>
        <v>0.76040795444536402</v>
      </c>
      <c r="L13" s="23">
        <f t="shared" si="1"/>
        <v>11434057</v>
      </c>
      <c r="M13" s="24">
        <f t="shared" si="3"/>
        <v>3602683.3880459368</v>
      </c>
      <c r="N13" s="17">
        <f t="shared" si="4"/>
        <v>0.23959204555463598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AGOSTO!I14+AGOSTO!J14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AGOSTO!I15+AGOSTO!J15</f>
        <v>8921740</v>
      </c>
      <c r="J15" s="41">
        <v>0</v>
      </c>
      <c r="K15" s="15">
        <f t="shared" si="5"/>
        <v>0.38924236838649456</v>
      </c>
      <c r="L15" s="23">
        <f t="shared" si="1"/>
        <v>8921740</v>
      </c>
      <c r="M15" s="24">
        <f t="shared" si="3"/>
        <v>13999043.359177493</v>
      </c>
      <c r="N15" s="17">
        <f t="shared" si="4"/>
        <v>0.61075763161350538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AGOSTO!I16+AGOSTO!J16</f>
        <v>0</v>
      </c>
      <c r="J16" s="41"/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AGOSTO!I17+AGOSTO!J17</f>
        <v>14161161</v>
      </c>
      <c r="J17" s="41">
        <v>0</v>
      </c>
      <c r="K17" s="15">
        <f t="shared" si="5"/>
        <v>0.38145968671478531</v>
      </c>
      <c r="L17" s="23">
        <f>J17+I17</f>
        <v>14161161</v>
      </c>
      <c r="M17" s="24">
        <f t="shared" si="3"/>
        <v>22962449.942899451</v>
      </c>
      <c r="N17" s="17">
        <f t="shared" si="4"/>
        <v>0.61854031328521475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AGOSTO!I18+AGOSTO!J18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AGOSTO!I19+AGOSTO!J19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0</v>
      </c>
      <c r="H20" s="65">
        <f t="shared" si="7"/>
        <v>60500000</v>
      </c>
      <c r="I20" s="65">
        <f t="shared" si="7"/>
        <v>41332100</v>
      </c>
      <c r="J20" s="65">
        <f>SUM(J21:J24)</f>
        <v>0</v>
      </c>
      <c r="K20" s="66">
        <f>L20/H20</f>
        <v>0.68317520661157027</v>
      </c>
      <c r="L20" s="72">
        <f t="shared" si="6"/>
        <v>41332100</v>
      </c>
      <c r="M20" s="72">
        <f>SUM(M21:M24)</f>
        <v>19167900</v>
      </c>
      <c r="N20" s="68">
        <f t="shared" si="4"/>
        <v>0.31682479338842973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AGOSTO!I21+AGOSTO!J21</f>
        <v>40500000</v>
      </c>
      <c r="J21" s="21">
        <v>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AGOSTO!I22+AGOSTO!J22</f>
        <v>832100</v>
      </c>
      <c r="J22" s="21">
        <v>0</v>
      </c>
      <c r="K22" s="15">
        <v>0</v>
      </c>
      <c r="L22" s="23">
        <f t="shared" si="6"/>
        <v>832100</v>
      </c>
      <c r="M22" s="24">
        <f t="shared" si="3"/>
        <v>19167900</v>
      </c>
      <c r="N22" s="17">
        <f t="shared" si="4"/>
        <v>0.958395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AGOSTO!I23+AGOSTO!J23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AGOSTO!I24+AGOSTO!J24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1000000</v>
      </c>
      <c r="G25" s="65">
        <f t="shared" si="8"/>
        <v>0</v>
      </c>
      <c r="H25" s="65">
        <f t="shared" si="8"/>
        <v>40200000</v>
      </c>
      <c r="I25" s="65">
        <f t="shared" si="8"/>
        <v>31859000</v>
      </c>
      <c r="J25" s="65">
        <f t="shared" si="8"/>
        <v>1050600</v>
      </c>
      <c r="K25" s="66">
        <f>L25/H25</f>
        <v>0.81864676616915422</v>
      </c>
      <c r="L25" s="72">
        <f t="shared" si="6"/>
        <v>32909600</v>
      </c>
      <c r="M25" s="65">
        <f>SUM(M26:M30)</f>
        <v>7290400</v>
      </c>
      <c r="N25" s="68">
        <f>M25/H25</f>
        <v>0.18135323383084578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AGOSTO!I26+AGOSTO!J26</f>
        <v>0</v>
      </c>
      <c r="J26" s="25">
        <v>0</v>
      </c>
      <c r="K26" s="15">
        <f t="shared" si="5"/>
        <v>0</v>
      </c>
      <c r="L26" s="16">
        <f t="shared" si="6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AGOSTO!I27+AGOSTO!J27</f>
        <v>0</v>
      </c>
      <c r="J27" s="25">
        <v>0</v>
      </c>
      <c r="K27" s="15">
        <f t="shared" si="5"/>
        <v>0</v>
      </c>
      <c r="L27" s="16">
        <f t="shared" si="6"/>
        <v>0</v>
      </c>
      <c r="M27" s="24">
        <f t="shared" si="3"/>
        <v>3000000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>
        <f>'LIBRO DE PRESUPUESTO'!G173</f>
        <v>1000000</v>
      </c>
      <c r="G28" s="61"/>
      <c r="H28" s="20">
        <f>C28-D28+E28+F28-G28</f>
        <v>33000000</v>
      </c>
      <c r="I28" s="21">
        <f>AGOSTO!I28+AGOSTO!J28</f>
        <v>31859000</v>
      </c>
      <c r="J28" s="21">
        <f>'LIBRO DE PRESUPUESTO'!J174</f>
        <v>1050600</v>
      </c>
      <c r="K28" s="15">
        <f t="shared" si="5"/>
        <v>0.99726060606060607</v>
      </c>
      <c r="L28" s="23">
        <f t="shared" si="6"/>
        <v>32909600</v>
      </c>
      <c r="M28" s="24">
        <f t="shared" si="3"/>
        <v>90400</v>
      </c>
      <c r="N28" s="33">
        <f>M28/H28</f>
        <v>2.7393939393939395E-3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AGOSTO!I29+AGOSTO!J29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AGOSTO!I30+AGOSTO!J30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SUM(C32:C48)</f>
        <v>75448328</v>
      </c>
      <c r="D31" s="65">
        <f t="shared" si="9"/>
        <v>0</v>
      </c>
      <c r="E31" s="65">
        <f t="shared" si="9"/>
        <v>122000000</v>
      </c>
      <c r="F31" s="65">
        <f t="shared" si="9"/>
        <v>15631976</v>
      </c>
      <c r="G31" s="65">
        <f t="shared" si="9"/>
        <v>0</v>
      </c>
      <c r="H31" s="65">
        <f t="shared" si="9"/>
        <v>213080304</v>
      </c>
      <c r="I31" s="65">
        <f t="shared" si="9"/>
        <v>117460320</v>
      </c>
      <c r="J31" s="65">
        <f t="shared" si="9"/>
        <v>19217482</v>
      </c>
      <c r="K31" s="66">
        <f>L31/H31</f>
        <v>0.64143799043951055</v>
      </c>
      <c r="L31" s="67">
        <f>I31+J31</f>
        <v>136677802</v>
      </c>
      <c r="M31" s="72">
        <f>SUM(M32:M48)</f>
        <v>76402502</v>
      </c>
      <c r="N31" s="68">
        <f t="shared" ref="N31:N38" si="10">M31/H31</f>
        <v>0.35856200956048945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11">C32-D32+E32+F32-G32</f>
        <v>16180000</v>
      </c>
      <c r="I32" s="21">
        <f>AGOSTO!I32+AGOSTO!J32</f>
        <v>16180000</v>
      </c>
      <c r="J32" s="21">
        <v>0</v>
      </c>
      <c r="K32" s="15">
        <f t="shared" si="5"/>
        <v>1</v>
      </c>
      <c r="L32" s="23">
        <f t="shared" ref="L32:L50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AGOSTO!I33+AGOSTO!J33</f>
        <v>5175900</v>
      </c>
      <c r="J33" s="21">
        <f>'LIBRO DE PRESUPUESTO'!J199</f>
        <v>1045000</v>
      </c>
      <c r="K33" s="15">
        <f t="shared" si="5"/>
        <v>0.41472666666666669</v>
      </c>
      <c r="L33" s="23">
        <f t="shared" si="12"/>
        <v>6220900</v>
      </c>
      <c r="M33" s="24">
        <f t="shared" si="3"/>
        <v>8779100</v>
      </c>
      <c r="N33" s="33">
        <f t="shared" si="10"/>
        <v>0.58527333333333331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>
        <f>'LIBRO DE PRESUPUESTO'!G299</f>
        <v>15000000</v>
      </c>
      <c r="G34" s="61"/>
      <c r="H34" s="20">
        <f t="shared" si="11"/>
        <v>54298328</v>
      </c>
      <c r="I34" s="21">
        <f>AGOSTO!I34+AGOSTO!J34</f>
        <v>39298328</v>
      </c>
      <c r="J34" s="21">
        <f>SUM('LIBRO DE PRESUPUESTO'!J300:J302)-1260040</f>
        <v>3167460</v>
      </c>
      <c r="K34" s="15">
        <f t="shared" si="5"/>
        <v>0.78208279267825709</v>
      </c>
      <c r="L34" s="23">
        <f t="shared" si="12"/>
        <v>42465788</v>
      </c>
      <c r="M34" s="24">
        <f t="shared" si="3"/>
        <v>11832540</v>
      </c>
      <c r="N34" s="33">
        <f t="shared" si="10"/>
        <v>0.21791720732174294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11"/>
        <v>50000000</v>
      </c>
      <c r="I35" s="21">
        <f>AGOSTO!I35+AGOSTO!J35</f>
        <v>36171990</v>
      </c>
      <c r="J35" s="21">
        <f>SUM('LIBRO DE PRESUPUESTO'!J288:J298)+1260040</f>
        <v>13828010</v>
      </c>
      <c r="K35" s="15">
        <f t="shared" si="5"/>
        <v>1</v>
      </c>
      <c r="L35" s="23">
        <f t="shared" si="12"/>
        <v>50000000</v>
      </c>
      <c r="M35" s="24">
        <f t="shared" si="3"/>
        <v>0</v>
      </c>
      <c r="N35" s="33">
        <f t="shared" si="10"/>
        <v>0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AGOSTO!I36+AGOSTO!J36</f>
        <v>574100</v>
      </c>
      <c r="J36" s="41">
        <f>'LIBRO DE PRESUPUESTO'!J346</f>
        <v>165000</v>
      </c>
      <c r="K36" s="15">
        <f t="shared" si="5"/>
        <v>0.61591666666666667</v>
      </c>
      <c r="L36" s="23">
        <f t="shared" si="12"/>
        <v>739100</v>
      </c>
      <c r="M36" s="24">
        <f t="shared" si="3"/>
        <v>460900</v>
      </c>
      <c r="N36" s="33">
        <f t="shared" si="10"/>
        <v>0.38408333333333333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AGOSTO!I37+AGOSTO!J37</f>
        <v>5411800</v>
      </c>
      <c r="J37" s="41">
        <f>'LIBRO DE PRESUPUESTO'!J371</f>
        <v>497400</v>
      </c>
      <c r="K37" s="15">
        <f t="shared" si="5"/>
        <v>0.54714814814814816</v>
      </c>
      <c r="L37" s="23">
        <f t="shared" si="12"/>
        <v>5909200</v>
      </c>
      <c r="M37" s="24">
        <f t="shared" si="3"/>
        <v>4890800</v>
      </c>
      <c r="N37" s="17">
        <f t="shared" si="10"/>
        <v>0.45285185185185184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AGOSTO!I38+AGOSTO!J38</f>
        <v>3879850</v>
      </c>
      <c r="J38" s="41">
        <f>'LIBRO DE PRESUPUESTO'!J402+'LIBRO DE PRESUPUESTO'!J403</f>
        <v>382322</v>
      </c>
      <c r="K38" s="15">
        <f t="shared" si="5"/>
        <v>0.64578363636363634</v>
      </c>
      <c r="L38" s="23">
        <f t="shared" si="12"/>
        <v>4262172</v>
      </c>
      <c r="M38" s="24">
        <f t="shared" si="3"/>
        <v>2337828</v>
      </c>
      <c r="N38" s="17">
        <f t="shared" si="10"/>
        <v>0.35421636363636366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AGOSTO!I39+AGOSTO!J39</f>
        <v>1030100</v>
      </c>
      <c r="J39" s="25">
        <f>'LIBRO DE PRESUPUESTO'!J429+'LIBRO DE PRESUPUESTO'!J430</f>
        <v>132290</v>
      </c>
      <c r="K39" s="15">
        <f t="shared" si="5"/>
        <v>0.60541145833333332</v>
      </c>
      <c r="L39" s="23">
        <f t="shared" si="12"/>
        <v>1162390</v>
      </c>
      <c r="M39" s="24">
        <f t="shared" si="3"/>
        <v>757610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AGOSTO!I40+AGOSTO!J40</f>
        <v>500000</v>
      </c>
      <c r="J40" s="21">
        <v>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AGOSTO!I41+AGOSTO!J41</f>
        <v>0</v>
      </c>
      <c r="J41" s="21"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11"/>
        <v>8631976</v>
      </c>
      <c r="I42" s="21">
        <f>AGOSTO!I42+AGOSTO!J42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AGOSTO!I43+AGOSTO!J43</f>
        <v>0</v>
      </c>
      <c r="J43" s="43">
        <v>0</v>
      </c>
      <c r="K43" s="15">
        <f t="shared" si="5"/>
        <v>0</v>
      </c>
      <c r="L43" s="23">
        <f t="shared" si="12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11"/>
        <v>3000000</v>
      </c>
      <c r="I44" s="21">
        <f>AGOSTO!I44+AGOSTO!J44</f>
        <v>1452000</v>
      </c>
      <c r="J44" s="43">
        <v>0</v>
      </c>
      <c r="K44" s="15">
        <f t="shared" si="5"/>
        <v>0.48399999999999999</v>
      </c>
      <c r="L44" s="23">
        <f t="shared" si="12"/>
        <v>1452000</v>
      </c>
      <c r="M44" s="24">
        <f t="shared" si="3"/>
        <v>1548000</v>
      </c>
      <c r="N44" s="17">
        <f>M44/H44</f>
        <v>0.51600000000000001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11"/>
        <v>15000000</v>
      </c>
      <c r="I45" s="21">
        <f>AGOSTO!I45+AGOSTO!J45</f>
        <v>0</v>
      </c>
      <c r="J45" s="21">
        <v>0</v>
      </c>
      <c r="K45" s="15">
        <f t="shared" si="5"/>
        <v>0</v>
      </c>
      <c r="L45" s="23">
        <f t="shared" si="12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11"/>
        <v>3000000</v>
      </c>
      <c r="I46" s="21">
        <f>AGOSTO!I46+AGOSTO!J46</f>
        <v>0</v>
      </c>
      <c r="J46" s="21">
        <v>0</v>
      </c>
      <c r="K46" s="15">
        <f t="shared" si="5"/>
        <v>0</v>
      </c>
      <c r="L46" s="23">
        <f t="shared" si="12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11"/>
        <v>0</v>
      </c>
      <c r="I47" s="21">
        <f>AGOSTO!I47+AGOSTO!J47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11"/>
        <v>950000</v>
      </c>
      <c r="I48" s="21">
        <f>AGOSTO!I48+AGOSTO!J48</f>
        <v>0</v>
      </c>
      <c r="J48" s="21">
        <v>0</v>
      </c>
      <c r="K48" s="15">
        <f t="shared" si="5"/>
        <v>0</v>
      </c>
      <c r="L48" s="23">
        <f t="shared" si="12"/>
        <v>0</v>
      </c>
      <c r="M48" s="24">
        <f t="shared" si="3"/>
        <v>950000</v>
      </c>
      <c r="N48" s="17">
        <f t="shared" ref="N48:N57" si="13">M48/H48</f>
        <v>1</v>
      </c>
    </row>
    <row r="49" spans="1:16" ht="15.75" x14ac:dyDescent="0.2">
      <c r="A49" s="63">
        <v>20201203</v>
      </c>
      <c r="B49" s="79" t="s">
        <v>190</v>
      </c>
      <c r="C49" s="296">
        <f t="shared" ref="C49:J49" si="14">C50</f>
        <v>0</v>
      </c>
      <c r="D49" s="296">
        <f t="shared" si="14"/>
        <v>0</v>
      </c>
      <c r="E49" s="296">
        <f t="shared" si="14"/>
        <v>0</v>
      </c>
      <c r="F49" s="296">
        <f t="shared" si="14"/>
        <v>1000000</v>
      </c>
      <c r="G49" s="296">
        <f t="shared" si="14"/>
        <v>0</v>
      </c>
      <c r="H49" s="296">
        <f t="shared" si="14"/>
        <v>1000000</v>
      </c>
      <c r="I49" s="297">
        <f t="shared" si="14"/>
        <v>573580</v>
      </c>
      <c r="J49" s="309">
        <f t="shared" si="14"/>
        <v>0</v>
      </c>
      <c r="K49" s="298">
        <v>0</v>
      </c>
      <c r="L49" s="63">
        <f t="shared" si="12"/>
        <v>573580</v>
      </c>
      <c r="M49" s="299">
        <f>M50</f>
        <v>426420</v>
      </c>
      <c r="N49" s="310">
        <f t="shared" si="13"/>
        <v>0.42642000000000002</v>
      </c>
    </row>
    <row r="50" spans="1:16" ht="15" x14ac:dyDescent="0.25">
      <c r="A50" s="96">
        <v>2020120301</v>
      </c>
      <c r="B50" s="31" t="s">
        <v>191</v>
      </c>
      <c r="C50" s="295"/>
      <c r="D50" s="21"/>
      <c r="E50" s="22"/>
      <c r="F50" s="34">
        <v>1000000</v>
      </c>
      <c r="G50" s="61"/>
      <c r="H50" s="20">
        <f>C50-D50+E50+F50-G50</f>
        <v>1000000</v>
      </c>
      <c r="I50" s="21">
        <f>AGOSTO!I50+AGOSTO!J50</f>
        <v>573580</v>
      </c>
      <c r="J50" s="21"/>
      <c r="K50" s="15"/>
      <c r="L50" s="23">
        <f t="shared" si="12"/>
        <v>573580</v>
      </c>
      <c r="M50" s="24">
        <f t="shared" si="3"/>
        <v>426420</v>
      </c>
      <c r="N50" s="17">
        <f t="shared" si="13"/>
        <v>0.42642000000000002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5">SUM(D52:D55)</f>
        <v>0</v>
      </c>
      <c r="E51" s="70">
        <f t="shared" si="15"/>
        <v>0</v>
      </c>
      <c r="F51" s="70">
        <f t="shared" si="15"/>
        <v>0</v>
      </c>
      <c r="G51" s="70">
        <f t="shared" si="15"/>
        <v>0</v>
      </c>
      <c r="H51" s="70">
        <f t="shared" si="15"/>
        <v>83777302.320260897</v>
      </c>
      <c r="I51" s="70">
        <f t="shared" si="15"/>
        <v>37805922</v>
      </c>
      <c r="J51" s="70">
        <f t="shared" si="15"/>
        <v>4446394</v>
      </c>
      <c r="K51" s="66">
        <f>L51/H51</f>
        <v>0.50434085163639364</v>
      </c>
      <c r="L51" s="70">
        <f>SUM(L52:L55)</f>
        <v>42252316</v>
      </c>
      <c r="M51" s="70">
        <f>SUM(M52:M55)</f>
        <v>41524986.320260897</v>
      </c>
      <c r="N51" s="68">
        <f t="shared" si="13"/>
        <v>0.49565914836360636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11"/>
      <c r="E52" s="22"/>
      <c r="F52" s="34"/>
      <c r="G52" s="61"/>
      <c r="H52" s="20">
        <f>C52-D52+E52+F52-G52</f>
        <v>13146617.570005897</v>
      </c>
      <c r="I52" s="21">
        <f>AGOSTO!I52+AGOSTO!J52</f>
        <v>0</v>
      </c>
      <c r="J52" s="42">
        <v>0</v>
      </c>
      <c r="K52" s="15">
        <f t="shared" ref="K52:K65" si="16">L52/H52</f>
        <v>0</v>
      </c>
      <c r="L52" s="23">
        <f>J52+I52</f>
        <v>0</v>
      </c>
      <c r="M52" s="24">
        <f t="shared" si="3"/>
        <v>13146617.570005897</v>
      </c>
      <c r="N52" s="17">
        <f t="shared" si="13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11"/>
      <c r="E53" s="22"/>
      <c r="F53" s="34"/>
      <c r="G53" s="61"/>
      <c r="H53" s="20">
        <f>C53-D53+E53+F53-G53</f>
        <v>43392204</v>
      </c>
      <c r="I53" s="21">
        <f>AGOSTO!I53+AGOSTO!J53</f>
        <v>28378461</v>
      </c>
      <c r="J53" s="41">
        <f>'LIBRO DE PRESUPUESTO'!J536</f>
        <v>3558158</v>
      </c>
      <c r="K53" s="15">
        <f t="shared" si="16"/>
        <v>0.73599900572001364</v>
      </c>
      <c r="L53" s="23">
        <f>J53+I53</f>
        <v>31936619</v>
      </c>
      <c r="M53" s="24">
        <f t="shared" si="3"/>
        <v>11455585</v>
      </c>
      <c r="N53" s="17">
        <f t="shared" si="13"/>
        <v>0.26400099427998636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11"/>
      <c r="E54" s="22"/>
      <c r="F54" s="34"/>
      <c r="G54" s="61"/>
      <c r="H54" s="20">
        <f>C54-D54+E54+F54-G54</f>
        <v>21030768.590477761</v>
      </c>
      <c r="I54" s="21">
        <f>AGOSTO!I54+AGOSTO!J54</f>
        <v>9282634</v>
      </c>
      <c r="J54" s="41">
        <f>'LIBRO DE PRESUPUESTO'!J551</f>
        <v>888236</v>
      </c>
      <c r="K54" s="15">
        <f t="shared" si="16"/>
        <v>0.48361855898148826</v>
      </c>
      <c r="L54" s="23">
        <f>J54+I54</f>
        <v>10170870</v>
      </c>
      <c r="M54" s="24">
        <f t="shared" si="3"/>
        <v>10859898.590477761</v>
      </c>
      <c r="N54" s="17">
        <f t="shared" si="13"/>
        <v>0.51638144101851169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12"/>
      <c r="E55" s="22"/>
      <c r="F55" s="34"/>
      <c r="G55" s="44"/>
      <c r="H55" s="20">
        <f>C55-D55+E55+F55-G55</f>
        <v>6207712.159777239</v>
      </c>
      <c r="I55" s="21">
        <f>AGOSTO!I55+AGOSTO!J55</f>
        <v>144827</v>
      </c>
      <c r="J55" s="20">
        <v>0</v>
      </c>
      <c r="K55" s="15">
        <f t="shared" si="16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3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7">SUM(C57:C66)</f>
        <v>127422616</v>
      </c>
      <c r="D56" s="70">
        <f t="shared" si="17"/>
        <v>0</v>
      </c>
      <c r="E56" s="70">
        <f t="shared" si="17"/>
        <v>0</v>
      </c>
      <c r="F56" s="70">
        <f t="shared" si="17"/>
        <v>0</v>
      </c>
      <c r="G56" s="70">
        <f t="shared" si="17"/>
        <v>0</v>
      </c>
      <c r="H56" s="70">
        <f t="shared" si="17"/>
        <v>127422616</v>
      </c>
      <c r="I56" s="65">
        <f t="shared" si="17"/>
        <v>68486981</v>
      </c>
      <c r="J56" s="65">
        <f t="shared" si="17"/>
        <v>8188948</v>
      </c>
      <c r="K56" s="66">
        <f>L56/H56</f>
        <v>0.60174505442581716</v>
      </c>
      <c r="L56" s="67">
        <f>SUM(L57:L66)</f>
        <v>76675929</v>
      </c>
      <c r="M56" s="72">
        <f>SUM(M57:M66)</f>
        <v>50746687</v>
      </c>
      <c r="N56" s="68">
        <f t="shared" si="13"/>
        <v>0.39825494557418284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11"/>
      <c r="E57" s="22"/>
      <c r="F57" s="34"/>
      <c r="G57" s="61"/>
      <c r="H57" s="20">
        <f t="shared" ref="H57:H69" si="18">C57-D57+E57+F57-G57</f>
        <v>38584317</v>
      </c>
      <c r="I57" s="21">
        <f>AGOSTO!I57+AGOSTO!J57</f>
        <v>2096036</v>
      </c>
      <c r="J57" s="25">
        <v>0</v>
      </c>
      <c r="K57" s="15">
        <f t="shared" si="16"/>
        <v>5.4323522170937999E-2</v>
      </c>
      <c r="L57" s="23">
        <f t="shared" ref="L57:L69" si="19">J57+I57</f>
        <v>2096036</v>
      </c>
      <c r="M57" s="24">
        <f t="shared" si="3"/>
        <v>36488281</v>
      </c>
      <c r="N57" s="17">
        <f t="shared" si="13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11"/>
      <c r="E58" s="22"/>
      <c r="F58" s="34"/>
      <c r="G58" s="61"/>
      <c r="H58" s="20">
        <f t="shared" si="18"/>
        <v>0</v>
      </c>
      <c r="I58" s="21">
        <f>AGOSTO!I58+AGOSTO!J58</f>
        <v>0</v>
      </c>
      <c r="J58" s="21"/>
      <c r="K58" s="15">
        <v>0</v>
      </c>
      <c r="L58" s="16">
        <f t="shared" si="19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11"/>
      <c r="E59" s="22"/>
      <c r="F59" s="34"/>
      <c r="G59" s="61"/>
      <c r="H59" s="20">
        <f t="shared" si="18"/>
        <v>2664792</v>
      </c>
      <c r="I59" s="21">
        <f>AGOSTO!I59+AGOSTO!J59</f>
        <v>2267700</v>
      </c>
      <c r="J59" s="41">
        <f>'LIBRO DE PRESUPUESTO'!J593</f>
        <v>284100</v>
      </c>
      <c r="K59" s="15">
        <f t="shared" si="16"/>
        <v>0.95759819152864467</v>
      </c>
      <c r="L59" s="23">
        <f t="shared" si="19"/>
        <v>2551800</v>
      </c>
      <c r="M59" s="24">
        <f t="shared" si="3"/>
        <v>112992</v>
      </c>
      <c r="N59" s="17">
        <f t="shared" ref="N59:N65" si="20">M59/H59</f>
        <v>4.2401808471355364E-2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11"/>
      <c r="E60" s="22"/>
      <c r="F60" s="34"/>
      <c r="G60" s="61"/>
      <c r="H60" s="20">
        <f t="shared" si="18"/>
        <v>40228819</v>
      </c>
      <c r="I60" s="21">
        <f>AGOSTO!I60+AGOSTO!J60</f>
        <v>30850945</v>
      </c>
      <c r="J60" s="37">
        <f>'LIBRO DE PRESUPUESTO'!J610</f>
        <v>4135148</v>
      </c>
      <c r="K60" s="15">
        <f t="shared" si="16"/>
        <v>0.86967735741881957</v>
      </c>
      <c r="L60" s="23">
        <f t="shared" si="19"/>
        <v>34986093</v>
      </c>
      <c r="M60" s="24">
        <f t="shared" si="3"/>
        <v>5242726</v>
      </c>
      <c r="N60" s="17">
        <f t="shared" si="20"/>
        <v>0.13032264258118043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11"/>
      <c r="E61" s="22"/>
      <c r="F61" s="34"/>
      <c r="G61" s="61"/>
      <c r="H61" s="20">
        <f t="shared" si="18"/>
        <v>20419860</v>
      </c>
      <c r="I61" s="21">
        <f>AGOSTO!I61+AGOSTO!J61</f>
        <v>14758900</v>
      </c>
      <c r="J61" s="41">
        <f>'LIBRO DE PRESUPUESTO'!J625</f>
        <v>1674700</v>
      </c>
      <c r="K61" s="15">
        <f t="shared" si="16"/>
        <v>0.80478514544174151</v>
      </c>
      <c r="L61" s="23">
        <f t="shared" si="19"/>
        <v>16433600</v>
      </c>
      <c r="M61" s="24">
        <f t="shared" si="3"/>
        <v>3986260</v>
      </c>
      <c r="N61" s="17">
        <f t="shared" si="20"/>
        <v>0.19521485455825849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11"/>
      <c r="E62" s="22"/>
      <c r="F62" s="34"/>
      <c r="G62" s="61"/>
      <c r="H62" s="20">
        <f t="shared" si="18"/>
        <v>15314892</v>
      </c>
      <c r="I62" s="21">
        <f>AGOSTO!I62+AGOSTO!J62</f>
        <v>11102300</v>
      </c>
      <c r="J62" s="41">
        <f>'LIBRO DE PRESUPUESTO'!J641</f>
        <v>1256200</v>
      </c>
      <c r="K62" s="15">
        <f t="shared" si="16"/>
        <v>0.80695965730610442</v>
      </c>
      <c r="L62" s="23">
        <f t="shared" si="19"/>
        <v>12358500</v>
      </c>
      <c r="M62" s="24">
        <f t="shared" si="3"/>
        <v>2956392</v>
      </c>
      <c r="N62" s="17">
        <f t="shared" si="20"/>
        <v>0.19304034269389558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11"/>
      <c r="E63" s="22"/>
      <c r="F63" s="34"/>
      <c r="G63" s="61"/>
      <c r="H63" s="20">
        <f t="shared" si="18"/>
        <v>2552484</v>
      </c>
      <c r="I63" s="21">
        <f>AGOSTO!I63+AGOSTO!J63</f>
        <v>1853900</v>
      </c>
      <c r="J63" s="41">
        <f>'LIBRO DE PRESUPUESTO'!J657</f>
        <v>209800</v>
      </c>
      <c r="K63" s="15">
        <f t="shared" si="16"/>
        <v>0.80850653716144749</v>
      </c>
      <c r="L63" s="23">
        <f t="shared" si="19"/>
        <v>2063700</v>
      </c>
      <c r="M63" s="24">
        <f t="shared" si="3"/>
        <v>488784</v>
      </c>
      <c r="N63" s="17">
        <f t="shared" si="20"/>
        <v>0.19149346283855256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11"/>
      <c r="E64" s="22"/>
      <c r="F64" s="34"/>
      <c r="G64" s="61"/>
      <c r="H64" s="20">
        <f t="shared" si="18"/>
        <v>2552484</v>
      </c>
      <c r="I64" s="21">
        <f>AGOSTO!I64+AGOSTO!J64</f>
        <v>1853900</v>
      </c>
      <c r="J64" s="41">
        <f>'LIBRO DE PRESUPUESTO'!J672</f>
        <v>209800</v>
      </c>
      <c r="K64" s="15">
        <f t="shared" si="16"/>
        <v>0.80850653716144749</v>
      </c>
      <c r="L64" s="23">
        <f t="shared" si="19"/>
        <v>2063700</v>
      </c>
      <c r="M64" s="24">
        <f t="shared" si="3"/>
        <v>488784</v>
      </c>
      <c r="N64" s="17">
        <f t="shared" si="20"/>
        <v>0.19149346283855256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11"/>
      <c r="E65" s="22"/>
      <c r="F65" s="34"/>
      <c r="G65" s="61"/>
      <c r="H65" s="20">
        <f t="shared" si="18"/>
        <v>5104968</v>
      </c>
      <c r="I65" s="21">
        <f>AGOSTO!I65+AGOSTO!J65</f>
        <v>3703300</v>
      </c>
      <c r="J65" s="41">
        <f>'LIBRO DE PRESUPUESTO'!J692</f>
        <v>419200</v>
      </c>
      <c r="K65" s="15">
        <f t="shared" si="16"/>
        <v>0.80754668785387096</v>
      </c>
      <c r="L65" s="23">
        <f t="shared" si="19"/>
        <v>4122500</v>
      </c>
      <c r="M65" s="24">
        <f t="shared" si="3"/>
        <v>982468</v>
      </c>
      <c r="N65" s="17">
        <f t="shared" si="20"/>
        <v>0.19245331214612901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8"/>
        <v>0</v>
      </c>
      <c r="I66" s="21">
        <f>AGOSTO!I66+AGOSTO!J66</f>
        <v>0</v>
      </c>
      <c r="J66" s="21">
        <v>0</v>
      </c>
      <c r="K66" s="15">
        <v>0</v>
      </c>
      <c r="L66" s="16">
        <f t="shared" si="19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9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8"/>
        <v>0</v>
      </c>
      <c r="I68" s="21">
        <f>JUNIO!I68+JUNIO!J68</f>
        <v>0</v>
      </c>
      <c r="J68" s="89">
        <v>0</v>
      </c>
      <c r="K68" s="15">
        <v>0</v>
      </c>
      <c r="L68" s="23">
        <f t="shared" si="19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8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21">E8+E20+E25+E31+E49+E51+E56+E67</f>
        <v>241428242</v>
      </c>
      <c r="F70" s="83">
        <f t="shared" si="21"/>
        <v>45281983</v>
      </c>
      <c r="G70" s="83">
        <f t="shared" si="21"/>
        <v>45281983</v>
      </c>
      <c r="H70" s="83">
        <f t="shared" si="21"/>
        <v>1215021308.2334807</v>
      </c>
      <c r="I70" s="83">
        <f t="shared" si="21"/>
        <v>680382979</v>
      </c>
      <c r="J70" s="83">
        <f t="shared" si="21"/>
        <v>74905362</v>
      </c>
      <c r="K70" s="84">
        <f>L70/H70</f>
        <v>0.62162559280389384</v>
      </c>
      <c r="L70" s="83">
        <f>L8+L20+L25+L31+L49+L51+L56+L67</f>
        <v>755288341</v>
      </c>
      <c r="M70" s="83">
        <f>M8+M20+M25+M31+M51+M49+M56+M67</f>
        <v>459732967.23348069</v>
      </c>
      <c r="N70" s="85">
        <f>M70/H70</f>
        <v>0.37837440719610621</v>
      </c>
    </row>
    <row r="71" spans="1:16" ht="35.25" customHeight="1" thickBot="1" x14ac:dyDescent="0.3">
      <c r="A71" s="81" t="s">
        <v>114</v>
      </c>
      <c r="B71" s="444" t="s">
        <v>115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39370078740157483" header="0" footer="0"/>
  <pageSetup paperSize="14"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26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262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336165376</v>
      </c>
      <c r="J8" s="65">
        <f>SUM(J9:J19)</f>
        <v>46699700</v>
      </c>
      <c r="K8" s="66">
        <f>L8/H8</f>
        <v>0.58006249030736545</v>
      </c>
      <c r="L8" s="67">
        <f>I8+J8</f>
        <v>382865076</v>
      </c>
      <c r="M8" s="65">
        <f>SUM(M9:M19)</f>
        <v>277176009.91321975</v>
      </c>
      <c r="N8" s="68">
        <f>M8/H8</f>
        <v>0.41993750969263449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JULIO!I9+JULIO!J9</f>
        <v>282471802</v>
      </c>
      <c r="J9" s="41">
        <f>'LIBRO DE PRESUPUESTO'!J16</f>
        <v>41853557</v>
      </c>
      <c r="K9" s="15">
        <f>L9/H9</f>
        <v>0.63740016377352382</v>
      </c>
      <c r="L9" s="23">
        <f t="shared" ref="L9:L15" si="1">J9+I9</f>
        <v>324325359</v>
      </c>
      <c r="M9" s="24">
        <f>H9-L9</f>
        <v>184499987.20000005</v>
      </c>
      <c r="N9" s="17">
        <f>M9/H9</f>
        <v>0.36259983622647618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JULIO!I10+JULIO!J10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JULIO!I11+JULIO!J11</f>
        <v>588073</v>
      </c>
      <c r="J11" s="21">
        <f>'LIBRO DE PRESUPUESTO'!J38</f>
        <v>88211</v>
      </c>
      <c r="K11" s="15">
        <f>L11/H11</f>
        <v>0.62764502534769562</v>
      </c>
      <c r="L11" s="23">
        <f t="shared" si="1"/>
        <v>676284</v>
      </c>
      <c r="M11" s="24">
        <f t="shared" si="3"/>
        <v>401210.39999999991</v>
      </c>
      <c r="N11" s="17">
        <f t="shared" ref="N11:N22" si="4">M11/H11</f>
        <v>0.37235497465230438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2"/>
        <v>1484049.6</v>
      </c>
      <c r="I12" s="21">
        <f>JULIO!I12+JULIO!J12</f>
        <v>549552</v>
      </c>
      <c r="J12" s="21"/>
      <c r="K12" s="15">
        <f t="shared" ref="K12:K48" si="5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 t="shared" si="4"/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JULIO!I13+JULIO!J13</f>
        <v>8190269</v>
      </c>
      <c r="J13" s="41">
        <f>'LIBRO DE PRESUPUESTO'!J75+'LIBRO DE PRESUPUESTO'!J76</f>
        <v>3243788</v>
      </c>
      <c r="K13" s="15">
        <f t="shared" si="5"/>
        <v>0.76040795444536402</v>
      </c>
      <c r="L13" s="23">
        <f t="shared" si="1"/>
        <v>11434057</v>
      </c>
      <c r="M13" s="24">
        <f t="shared" si="3"/>
        <v>3602683.3880459368</v>
      </c>
      <c r="N13" s="17">
        <f t="shared" si="4"/>
        <v>0.23959204555463598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JULIO!I14+JULIO!J14</f>
        <v>21513210</v>
      </c>
      <c r="J14" s="41">
        <v>0</v>
      </c>
      <c r="K14" s="15">
        <f t="shared" si="5"/>
        <v>0.97769755068284736</v>
      </c>
      <c r="L14" s="23">
        <f t="shared" si="1"/>
        <v>21513210</v>
      </c>
      <c r="M14" s="24">
        <f t="shared" si="3"/>
        <v>490742.02481039241</v>
      </c>
      <c r="N14" s="17">
        <f t="shared" si="4"/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JULIO!I15+JULIO!J15</f>
        <v>8317810</v>
      </c>
      <c r="J15" s="41">
        <f>'LIBRO DE PRESUPUESTO'!J95</f>
        <v>603930</v>
      </c>
      <c r="K15" s="15">
        <f t="shared" si="5"/>
        <v>0.38924236838649456</v>
      </c>
      <c r="L15" s="23">
        <f t="shared" si="1"/>
        <v>8921740</v>
      </c>
      <c r="M15" s="24">
        <f t="shared" si="3"/>
        <v>13999043.359177493</v>
      </c>
      <c r="N15" s="17">
        <f t="shared" si="4"/>
        <v>0.61075763161350538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JULIO!I16+JULIO!J16</f>
        <v>0</v>
      </c>
      <c r="J16" s="41"/>
      <c r="K16" s="15">
        <f t="shared" si="5"/>
        <v>0</v>
      </c>
      <c r="L16" s="23"/>
      <c r="M16" s="24">
        <f t="shared" si="3"/>
        <v>1000000</v>
      </c>
      <c r="N16" s="17">
        <f t="shared" si="4"/>
        <v>1</v>
      </c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JULIO!I17+JULIO!J17</f>
        <v>13250947</v>
      </c>
      <c r="J17" s="41">
        <f>'LIBRO DE PRESUPUESTO'!J112</f>
        <v>910214</v>
      </c>
      <c r="K17" s="15">
        <f t="shared" si="5"/>
        <v>0.38145968671478531</v>
      </c>
      <c r="L17" s="23">
        <f>J17+I17</f>
        <v>14161161</v>
      </c>
      <c r="M17" s="24">
        <f t="shared" si="3"/>
        <v>22962449.942899451</v>
      </c>
      <c r="N17" s="17">
        <f t="shared" si="4"/>
        <v>0.61854031328521475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JULIO!I18+JULIO!J18</f>
        <v>0</v>
      </c>
      <c r="J18" s="41">
        <v>0</v>
      </c>
      <c r="K18" s="15">
        <f t="shared" si="5"/>
        <v>0</v>
      </c>
      <c r="L18" s="23"/>
      <c r="M18" s="24">
        <f t="shared" si="3"/>
        <v>2817477</v>
      </c>
      <c r="N18" s="17">
        <f t="shared" si="4"/>
        <v>1</v>
      </c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JULIO!I19+JULIO!J19</f>
        <v>1283713</v>
      </c>
      <c r="J19" s="41">
        <v>0</v>
      </c>
      <c r="K19" s="15">
        <f t="shared" si="5"/>
        <v>2.6883123074119553E-2</v>
      </c>
      <c r="L19" s="23">
        <f t="shared" ref="L19:L30" si="6">J19+I19</f>
        <v>1283713</v>
      </c>
      <c r="M19" s="24">
        <f t="shared" si="3"/>
        <v>46467918.998286448</v>
      </c>
      <c r="N19" s="17">
        <f t="shared" si="4"/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7">SUM(C21:C24)</f>
        <v>12849993</v>
      </c>
      <c r="D20" s="65">
        <f t="shared" si="7"/>
        <v>0</v>
      </c>
      <c r="E20" s="65">
        <f t="shared" si="7"/>
        <v>20000000</v>
      </c>
      <c r="F20" s="65">
        <f t="shared" si="7"/>
        <v>27650007</v>
      </c>
      <c r="G20" s="65">
        <f t="shared" si="7"/>
        <v>0</v>
      </c>
      <c r="H20" s="65">
        <f t="shared" si="7"/>
        <v>60500000</v>
      </c>
      <c r="I20" s="65">
        <f t="shared" si="7"/>
        <v>34832100</v>
      </c>
      <c r="J20" s="65">
        <f>SUM(J21:J24)</f>
        <v>6500000</v>
      </c>
      <c r="K20" s="66">
        <f>L20/H20</f>
        <v>0.68317520661157027</v>
      </c>
      <c r="L20" s="72">
        <f t="shared" si="6"/>
        <v>41332100</v>
      </c>
      <c r="M20" s="72">
        <f>SUM(M21:M24)</f>
        <v>19167900</v>
      </c>
      <c r="N20" s="68">
        <f t="shared" si="4"/>
        <v>0.31682479338842973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JULIO!I21+JULIO!J21</f>
        <v>34832100</v>
      </c>
      <c r="J21" s="21">
        <f>'LIBRO DE PRESUPUESTO'!J138+'LIBRO DE PRESUPUESTO'!J139-832100</f>
        <v>5667900</v>
      </c>
      <c r="K21" s="15">
        <f t="shared" si="5"/>
        <v>1</v>
      </c>
      <c r="L21" s="23">
        <f t="shared" si="6"/>
        <v>40500000</v>
      </c>
      <c r="M21" s="24">
        <f t="shared" si="3"/>
        <v>0</v>
      </c>
      <c r="N21" s="17">
        <f t="shared" si="4"/>
        <v>0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JULIO!I22+JULIO!J22</f>
        <v>0</v>
      </c>
      <c r="J22" s="21">
        <v>832100</v>
      </c>
      <c r="K22" s="15">
        <v>0</v>
      </c>
      <c r="L22" s="23">
        <f t="shared" si="6"/>
        <v>832100</v>
      </c>
      <c r="M22" s="24">
        <f t="shared" si="3"/>
        <v>19167900</v>
      </c>
      <c r="N22" s="17">
        <f t="shared" si="4"/>
        <v>0.958395</v>
      </c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JULIO!I23+JULIO!J23</f>
        <v>0</v>
      </c>
      <c r="J23" s="21">
        <v>0</v>
      </c>
      <c r="K23" s="15">
        <v>0</v>
      </c>
      <c r="L23" s="23">
        <f t="shared" si="6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JULIO!I24+JULIO!J24</f>
        <v>0</v>
      </c>
      <c r="J24" s="25">
        <v>0</v>
      </c>
      <c r="K24" s="15">
        <v>0</v>
      </c>
      <c r="L24" s="23">
        <f t="shared" si="6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8">SUM(C26:C30)</f>
        <v>16200000</v>
      </c>
      <c r="D25" s="65">
        <f t="shared" si="8"/>
        <v>0</v>
      </c>
      <c r="E25" s="65">
        <f t="shared" si="8"/>
        <v>23000000</v>
      </c>
      <c r="F25" s="65">
        <f t="shared" si="8"/>
        <v>0</v>
      </c>
      <c r="G25" s="65">
        <f t="shared" si="8"/>
        <v>0</v>
      </c>
      <c r="H25" s="65">
        <f t="shared" si="8"/>
        <v>39200000</v>
      </c>
      <c r="I25" s="65">
        <f t="shared" si="8"/>
        <v>20652600</v>
      </c>
      <c r="J25" s="65">
        <f t="shared" si="8"/>
        <v>11206400</v>
      </c>
      <c r="K25" s="66">
        <f>L25/H25</f>
        <v>0.81272959183673465</v>
      </c>
      <c r="L25" s="72">
        <f t="shared" si="6"/>
        <v>31859000</v>
      </c>
      <c r="M25" s="65">
        <f>SUM(M26:M30)</f>
        <v>7341000</v>
      </c>
      <c r="N25" s="68">
        <f>M25/H25</f>
        <v>0.18727040816326532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JULIO!I26+JULIO!J26</f>
        <v>0</v>
      </c>
      <c r="J26" s="25">
        <v>0</v>
      </c>
      <c r="K26" s="15">
        <f t="shared" si="5"/>
        <v>0</v>
      </c>
      <c r="L26" s="16">
        <f t="shared" si="6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JULIO!I27+JULIO!J27</f>
        <v>0</v>
      </c>
      <c r="J27" s="25">
        <v>0</v>
      </c>
      <c r="K27" s="15">
        <f t="shared" si="5"/>
        <v>0</v>
      </c>
      <c r="L27" s="16">
        <f t="shared" si="6"/>
        <v>0</v>
      </c>
      <c r="M27" s="24">
        <f t="shared" si="3"/>
        <v>3000000</v>
      </c>
      <c r="N27" s="17">
        <v>0</v>
      </c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JULIO!I28+JULIO!J28</f>
        <v>20652600</v>
      </c>
      <c r="J28" s="21">
        <f>'LIBRO DE PRESUPUESTO'!J170+'LIBRO DE PRESUPUESTO'!J171+'LIBRO DE PRESUPUESTO'!J172</f>
        <v>11206400</v>
      </c>
      <c r="K28" s="15">
        <f t="shared" si="5"/>
        <v>0.99559375000000006</v>
      </c>
      <c r="L28" s="23">
        <f t="shared" si="6"/>
        <v>31859000</v>
      </c>
      <c r="M28" s="24">
        <f t="shared" si="3"/>
        <v>141000</v>
      </c>
      <c r="N28" s="33">
        <f>M28/H28</f>
        <v>4.4062499999999996E-3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JULIO!I29+JULIO!J29</f>
        <v>0</v>
      </c>
      <c r="J29" s="21">
        <v>0</v>
      </c>
      <c r="K29" s="15">
        <f t="shared" si="5"/>
        <v>0</v>
      </c>
      <c r="L29" s="16">
        <f t="shared" si="6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JULIO!I30+JULIO!J30</f>
        <v>0</v>
      </c>
      <c r="J30" s="21"/>
      <c r="K30" s="15">
        <v>0</v>
      </c>
      <c r="L30" s="16">
        <f t="shared" si="6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9">SUM(C32:C48)</f>
        <v>75448328</v>
      </c>
      <c r="D31" s="65">
        <f t="shared" si="9"/>
        <v>0</v>
      </c>
      <c r="E31" s="65">
        <f t="shared" si="9"/>
        <v>122000000</v>
      </c>
      <c r="F31" s="65">
        <f t="shared" si="9"/>
        <v>631976</v>
      </c>
      <c r="G31" s="65">
        <f t="shared" si="9"/>
        <v>0</v>
      </c>
      <c r="H31" s="65">
        <f t="shared" si="9"/>
        <v>198080304</v>
      </c>
      <c r="I31" s="65">
        <f t="shared" si="9"/>
        <v>108626155</v>
      </c>
      <c r="J31" s="65">
        <f t="shared" si="9"/>
        <v>8834165</v>
      </c>
      <c r="K31" s="66">
        <f>L31/H31</f>
        <v>0.59299343563204543</v>
      </c>
      <c r="L31" s="67">
        <f>I31+J31</f>
        <v>117460320</v>
      </c>
      <c r="M31" s="72">
        <f>SUM(M32:M48)</f>
        <v>80619984</v>
      </c>
      <c r="N31" s="68">
        <f t="shared" ref="N31:N38" si="10">M31/H31</f>
        <v>0.40700656436795452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11">C32-D32+E32+F32-G32</f>
        <v>16180000</v>
      </c>
      <c r="I32" s="21">
        <f>JULIO!I32+JULIO!J32</f>
        <v>16180000</v>
      </c>
      <c r="J32" s="21">
        <v>0</v>
      </c>
      <c r="K32" s="15">
        <f t="shared" si="5"/>
        <v>1</v>
      </c>
      <c r="L32" s="23">
        <f t="shared" ref="L32:L50" si="12">J32+I32</f>
        <v>16180000</v>
      </c>
      <c r="M32" s="24">
        <f t="shared" si="3"/>
        <v>0</v>
      </c>
      <c r="N32" s="33">
        <f t="shared" si="10"/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11"/>
        <v>15000000</v>
      </c>
      <c r="I33" s="21">
        <f>JULIO!I33+JULIO!J33</f>
        <v>4101000</v>
      </c>
      <c r="J33" s="21">
        <f>'LIBRO DE PRESUPUESTO'!J198</f>
        <v>1074900</v>
      </c>
      <c r="K33" s="15">
        <f t="shared" si="5"/>
        <v>0.34505999999999998</v>
      </c>
      <c r="L33" s="23">
        <f t="shared" si="12"/>
        <v>5175900</v>
      </c>
      <c r="M33" s="24">
        <f t="shared" si="3"/>
        <v>9824100</v>
      </c>
      <c r="N33" s="33">
        <f t="shared" si="10"/>
        <v>0.65493999999999997</v>
      </c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11"/>
        <v>39298328</v>
      </c>
      <c r="I34" s="21">
        <f>JULIO!I34+JULIO!J34</f>
        <v>39298328</v>
      </c>
      <c r="J34" s="21">
        <v>0</v>
      </c>
      <c r="K34" s="15">
        <f t="shared" si="5"/>
        <v>1</v>
      </c>
      <c r="L34" s="23">
        <f t="shared" si="12"/>
        <v>39298328</v>
      </c>
      <c r="M34" s="24">
        <f t="shared" si="3"/>
        <v>0</v>
      </c>
      <c r="N34" s="33">
        <f t="shared" si="10"/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11"/>
        <v>50000000</v>
      </c>
      <c r="I35" s="21">
        <f>JULIO!I35+JULIO!J35</f>
        <v>30957240</v>
      </c>
      <c r="J35" s="21">
        <f>SUM('LIBRO DE PRESUPUESTO'!J283:J287)</f>
        <v>5214750</v>
      </c>
      <c r="K35" s="15">
        <f t="shared" si="5"/>
        <v>0.72343979999999997</v>
      </c>
      <c r="L35" s="23">
        <f t="shared" si="12"/>
        <v>36171990</v>
      </c>
      <c r="M35" s="24">
        <f t="shared" si="3"/>
        <v>13828010</v>
      </c>
      <c r="N35" s="33">
        <f t="shared" si="10"/>
        <v>0.27656019999999998</v>
      </c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11"/>
        <v>1200000</v>
      </c>
      <c r="I36" s="21">
        <f>JULIO!I36+JULIO!J36</f>
        <v>534100</v>
      </c>
      <c r="J36" s="41">
        <f>'LIBRO DE PRESUPUESTO'!J345</f>
        <v>40000</v>
      </c>
      <c r="K36" s="15">
        <f t="shared" si="5"/>
        <v>0.47841666666666666</v>
      </c>
      <c r="L36" s="23">
        <f t="shared" si="12"/>
        <v>574100</v>
      </c>
      <c r="M36" s="24">
        <f t="shared" si="3"/>
        <v>625900</v>
      </c>
      <c r="N36" s="33">
        <f t="shared" si="10"/>
        <v>0.52158333333333329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11"/>
        <v>10800000</v>
      </c>
      <c r="I37" s="21">
        <f>JULIO!I37+JULIO!J37</f>
        <v>4901900</v>
      </c>
      <c r="J37" s="41">
        <f>'LIBRO DE PRESUPUESTO'!J370</f>
        <v>509900</v>
      </c>
      <c r="K37" s="15">
        <f t="shared" si="5"/>
        <v>0.50109259259259264</v>
      </c>
      <c r="L37" s="23">
        <f t="shared" si="12"/>
        <v>5411800</v>
      </c>
      <c r="M37" s="24">
        <f t="shared" si="3"/>
        <v>5388200</v>
      </c>
      <c r="N37" s="17">
        <f t="shared" si="10"/>
        <v>0.49890740740740741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11"/>
        <v>6600000</v>
      </c>
      <c r="I38" s="21">
        <f>JULIO!I38+JULIO!J38</f>
        <v>3406935</v>
      </c>
      <c r="J38" s="41">
        <f>'LIBRO DE PRESUPUESTO'!J399+'LIBRO DE PRESUPUESTO'!J400+'LIBRO DE PRESUPUESTO'!J401</f>
        <v>472915</v>
      </c>
      <c r="K38" s="15">
        <f t="shared" si="5"/>
        <v>0.58785606060606066</v>
      </c>
      <c r="L38" s="23">
        <f t="shared" si="12"/>
        <v>3879850</v>
      </c>
      <c r="M38" s="24">
        <f t="shared" si="3"/>
        <v>2720150</v>
      </c>
      <c r="N38" s="17">
        <f t="shared" si="10"/>
        <v>0.4121439393939394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11"/>
        <v>1920000</v>
      </c>
      <c r="I39" s="21">
        <f>JULIO!I39+JULIO!J39</f>
        <v>960400</v>
      </c>
      <c r="J39" s="25">
        <f>'LIBRO DE PRESUPUESTO'!J428</f>
        <v>69700</v>
      </c>
      <c r="K39" s="15">
        <f t="shared" si="5"/>
        <v>0.53651041666666666</v>
      </c>
      <c r="L39" s="23">
        <f t="shared" si="12"/>
        <v>1030100</v>
      </c>
      <c r="M39" s="24">
        <f t="shared" si="3"/>
        <v>889900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11"/>
        <v>1500000</v>
      </c>
      <c r="I40" s="21">
        <f>JULIO!I40+JULIO!J40</f>
        <v>0</v>
      </c>
      <c r="J40" s="21">
        <f>'LIBRO DE PRESUPUESTO'!J440</f>
        <v>500000</v>
      </c>
      <c r="K40" s="15">
        <f t="shared" si="5"/>
        <v>0.33333333333333331</v>
      </c>
      <c r="L40" s="23">
        <f t="shared" si="12"/>
        <v>500000</v>
      </c>
      <c r="M40" s="24">
        <f t="shared" si="3"/>
        <v>1000000</v>
      </c>
      <c r="N40" s="17">
        <f>M40/H40</f>
        <v>0.66666666666666663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11"/>
        <v>0</v>
      </c>
      <c r="I41" s="21">
        <f>JULIO!I41+JULIO!J41</f>
        <v>0</v>
      </c>
      <c r="J41" s="21">
        <f>0</f>
        <v>0</v>
      </c>
      <c r="K41" s="15">
        <v>0</v>
      </c>
      <c r="L41" s="23">
        <f t="shared" si="12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11"/>
        <v>8631976</v>
      </c>
      <c r="I42" s="21">
        <f>JULIO!I42+JULIO!J42</f>
        <v>7786252</v>
      </c>
      <c r="J42" s="43">
        <v>0</v>
      </c>
      <c r="K42" s="15">
        <f t="shared" si="5"/>
        <v>0.90202428737058582</v>
      </c>
      <c r="L42" s="23">
        <f t="shared" si="12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11"/>
        <v>25000000</v>
      </c>
      <c r="I43" s="21">
        <f>JULIO!I43+JULIO!J43</f>
        <v>0</v>
      </c>
      <c r="J43" s="43">
        <v>0</v>
      </c>
      <c r="K43" s="15">
        <f t="shared" si="5"/>
        <v>0</v>
      </c>
      <c r="L43" s="23">
        <f t="shared" si="12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11"/>
        <v>3000000</v>
      </c>
      <c r="I44" s="21">
        <f>JULIO!I44+JULIO!J44</f>
        <v>500000</v>
      </c>
      <c r="J44" s="43">
        <f>'LIBRO DE PRESUPUESTO'!J476</f>
        <v>952000</v>
      </c>
      <c r="K44" s="15">
        <f t="shared" si="5"/>
        <v>0.48399999999999999</v>
      </c>
      <c r="L44" s="23">
        <f t="shared" si="12"/>
        <v>1452000</v>
      </c>
      <c r="M44" s="24">
        <f t="shared" si="3"/>
        <v>1548000</v>
      </c>
      <c r="N44" s="17">
        <f>M44/H44</f>
        <v>0.51600000000000001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11"/>
        <v>15000000</v>
      </c>
      <c r="I45" s="21">
        <f>JULIO!I45+JULIO!J45</f>
        <v>0</v>
      </c>
      <c r="J45" s="21">
        <v>0</v>
      </c>
      <c r="K45" s="15">
        <f t="shared" si="5"/>
        <v>0</v>
      </c>
      <c r="L45" s="23">
        <f t="shared" si="12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11"/>
        <v>3000000</v>
      </c>
      <c r="I46" s="21">
        <f>JULIO!I46+JULIO!J46</f>
        <v>0</v>
      </c>
      <c r="J46" s="21">
        <v>0</v>
      </c>
      <c r="K46" s="15">
        <f t="shared" si="5"/>
        <v>0</v>
      </c>
      <c r="L46" s="23">
        <f t="shared" si="12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11"/>
        <v>0</v>
      </c>
      <c r="I47" s="21">
        <f>JULIO!I47+JULIO!J47</f>
        <v>0</v>
      </c>
      <c r="J47" s="21">
        <v>0</v>
      </c>
      <c r="K47" s="15">
        <v>0</v>
      </c>
      <c r="L47" s="23">
        <f t="shared" si="12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11"/>
        <v>950000</v>
      </c>
      <c r="I48" s="21">
        <f>JULIO!I48+JULIO!J48</f>
        <v>0</v>
      </c>
      <c r="J48" s="21">
        <v>0</v>
      </c>
      <c r="K48" s="15">
        <f t="shared" si="5"/>
        <v>0</v>
      </c>
      <c r="L48" s="23">
        <f t="shared" si="12"/>
        <v>0</v>
      </c>
      <c r="M48" s="24">
        <f t="shared" si="3"/>
        <v>950000</v>
      </c>
      <c r="N48" s="17">
        <f t="shared" ref="N48:N57" si="13">M48/H48</f>
        <v>1</v>
      </c>
    </row>
    <row r="49" spans="1:16" ht="15.75" x14ac:dyDescent="0.2">
      <c r="A49" s="63">
        <v>20201203</v>
      </c>
      <c r="B49" s="79" t="s">
        <v>190</v>
      </c>
      <c r="C49" s="296">
        <f t="shared" ref="C49:J49" si="14">C50</f>
        <v>0</v>
      </c>
      <c r="D49" s="296">
        <f t="shared" si="14"/>
        <v>0</v>
      </c>
      <c r="E49" s="296">
        <f t="shared" si="14"/>
        <v>0</v>
      </c>
      <c r="F49" s="296">
        <f t="shared" si="14"/>
        <v>1000000</v>
      </c>
      <c r="G49" s="296">
        <f t="shared" si="14"/>
        <v>0</v>
      </c>
      <c r="H49" s="296">
        <f t="shared" si="14"/>
        <v>1000000</v>
      </c>
      <c r="I49" s="297">
        <f t="shared" si="14"/>
        <v>428757</v>
      </c>
      <c r="J49" s="309">
        <f t="shared" si="14"/>
        <v>144823</v>
      </c>
      <c r="K49" s="298">
        <v>0</v>
      </c>
      <c r="L49" s="63">
        <f t="shared" si="12"/>
        <v>573580</v>
      </c>
      <c r="M49" s="299">
        <f>M50</f>
        <v>426420</v>
      </c>
      <c r="N49" s="310">
        <f t="shared" si="13"/>
        <v>0.42642000000000002</v>
      </c>
    </row>
    <row r="50" spans="1:16" ht="15" x14ac:dyDescent="0.25">
      <c r="A50" s="96">
        <v>2020120301</v>
      </c>
      <c r="B50" s="31" t="s">
        <v>191</v>
      </c>
      <c r="C50" s="295"/>
      <c r="D50" s="21"/>
      <c r="E50" s="22"/>
      <c r="F50" s="34">
        <v>1000000</v>
      </c>
      <c r="G50" s="61"/>
      <c r="H50" s="20">
        <f>C50-D50+E50+F50-G50</f>
        <v>1000000</v>
      </c>
      <c r="I50" s="21">
        <f>JULIO!I50+JULIO!J50</f>
        <v>428757</v>
      </c>
      <c r="J50" s="21">
        <f>'LIBRO DE PRESUPUESTO'!J503</f>
        <v>144823</v>
      </c>
      <c r="K50" s="15"/>
      <c r="L50" s="23">
        <f t="shared" si="12"/>
        <v>573580</v>
      </c>
      <c r="M50" s="24">
        <f t="shared" si="3"/>
        <v>426420</v>
      </c>
      <c r="N50" s="17">
        <f t="shared" si="13"/>
        <v>0.42642000000000002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5">SUM(D52:D55)</f>
        <v>0</v>
      </c>
      <c r="E51" s="70">
        <f t="shared" si="15"/>
        <v>0</v>
      </c>
      <c r="F51" s="70">
        <f t="shared" si="15"/>
        <v>0</v>
      </c>
      <c r="G51" s="70">
        <f t="shared" si="15"/>
        <v>0</v>
      </c>
      <c r="H51" s="70">
        <f t="shared" si="15"/>
        <v>83777302.320260897</v>
      </c>
      <c r="I51" s="70">
        <f t="shared" si="15"/>
        <v>33359528</v>
      </c>
      <c r="J51" s="70">
        <f t="shared" si="15"/>
        <v>4446394</v>
      </c>
      <c r="K51" s="66">
        <f>L51/H51</f>
        <v>0.45126688199480169</v>
      </c>
      <c r="L51" s="70">
        <f>SUM(L52:L55)</f>
        <v>37805922</v>
      </c>
      <c r="M51" s="70">
        <f>SUM(M52:M55)</f>
        <v>45971380.320260897</v>
      </c>
      <c r="N51" s="68">
        <f t="shared" si="13"/>
        <v>0.54873311800519831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11"/>
      <c r="E52" s="22"/>
      <c r="F52" s="34"/>
      <c r="G52" s="61"/>
      <c r="H52" s="20">
        <f>C52-D52+E52+F52-G52</f>
        <v>13146617.570005897</v>
      </c>
      <c r="I52" s="21">
        <f>JULIO!I52+JULIO!J52</f>
        <v>0</v>
      </c>
      <c r="J52" s="42">
        <v>0</v>
      </c>
      <c r="K52" s="15">
        <f t="shared" ref="K52:K65" si="16">L52/H52</f>
        <v>0</v>
      </c>
      <c r="L52" s="23">
        <f>J52+I52</f>
        <v>0</v>
      </c>
      <c r="M52" s="24">
        <f t="shared" si="3"/>
        <v>13146617.570005897</v>
      </c>
      <c r="N52" s="17">
        <f t="shared" si="13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11"/>
      <c r="E53" s="22"/>
      <c r="F53" s="34"/>
      <c r="G53" s="61"/>
      <c r="H53" s="20">
        <f>C53-D53+E53+F53-G53</f>
        <v>43392204</v>
      </c>
      <c r="I53" s="21">
        <f>JULIO!I53+JULIO!J53</f>
        <v>24820303</v>
      </c>
      <c r="J53" s="41">
        <f>'LIBRO DE PRESUPUESTO'!J535</f>
        <v>3558158</v>
      </c>
      <c r="K53" s="15">
        <f t="shared" si="16"/>
        <v>0.65399906858844969</v>
      </c>
      <c r="L53" s="23">
        <f>J53+I53</f>
        <v>28378461</v>
      </c>
      <c r="M53" s="24">
        <f t="shared" si="3"/>
        <v>15013743</v>
      </c>
      <c r="N53" s="17">
        <f t="shared" si="13"/>
        <v>0.34600093141155031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11"/>
      <c r="E54" s="22"/>
      <c r="F54" s="34"/>
      <c r="G54" s="61"/>
      <c r="H54" s="20">
        <f>C54-D54+E54+F54-G54</f>
        <v>21030768.590477761</v>
      </c>
      <c r="I54" s="21">
        <f>JULIO!I54+JULIO!J54</f>
        <v>8394398</v>
      </c>
      <c r="J54" s="41">
        <f>'LIBRO DE PRESUPUESTO'!J550</f>
        <v>888236</v>
      </c>
      <c r="K54" s="15">
        <f t="shared" si="16"/>
        <v>0.44138348820037698</v>
      </c>
      <c r="L54" s="23">
        <f>J54+I54</f>
        <v>9282634</v>
      </c>
      <c r="M54" s="24">
        <f t="shared" si="3"/>
        <v>11748134.590477761</v>
      </c>
      <c r="N54" s="17">
        <f t="shared" si="13"/>
        <v>0.55861651179962302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12"/>
      <c r="E55" s="22"/>
      <c r="F55" s="34"/>
      <c r="G55" s="44"/>
      <c r="H55" s="20">
        <f>C55-D55+E55+F55-G55</f>
        <v>6207712.159777239</v>
      </c>
      <c r="I55" s="21">
        <f>JULIO!I55+JULIO!J55</f>
        <v>144827</v>
      </c>
      <c r="J55" s="20">
        <v>0</v>
      </c>
      <c r="K55" s="15">
        <f t="shared" si="16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3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7">SUM(C57:C66)</f>
        <v>127422616</v>
      </c>
      <c r="D56" s="70">
        <f t="shared" si="17"/>
        <v>0</v>
      </c>
      <c r="E56" s="70">
        <f t="shared" si="17"/>
        <v>0</v>
      </c>
      <c r="F56" s="70">
        <f t="shared" si="17"/>
        <v>0</v>
      </c>
      <c r="G56" s="70">
        <f t="shared" si="17"/>
        <v>0</v>
      </c>
      <c r="H56" s="70">
        <f t="shared" si="17"/>
        <v>127422616</v>
      </c>
      <c r="I56" s="65">
        <f t="shared" si="17"/>
        <v>60006833</v>
      </c>
      <c r="J56" s="65">
        <f t="shared" si="17"/>
        <v>8480148</v>
      </c>
      <c r="K56" s="66">
        <f>L56/H56</f>
        <v>0.53747900608162058</v>
      </c>
      <c r="L56" s="67">
        <f>SUM(L57:L66)</f>
        <v>68486981</v>
      </c>
      <c r="M56" s="72">
        <f>SUM(M57:M66)</f>
        <v>58935635</v>
      </c>
      <c r="N56" s="68">
        <f t="shared" si="13"/>
        <v>0.46252099391837947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11"/>
      <c r="E57" s="22"/>
      <c r="F57" s="34"/>
      <c r="G57" s="61"/>
      <c r="H57" s="20">
        <f t="shared" ref="H57:H69" si="18">C57-D57+E57+F57-G57</f>
        <v>38584317</v>
      </c>
      <c r="I57" s="21">
        <f>JULIO!I57+JULIO!J57</f>
        <v>2096036</v>
      </c>
      <c r="J57" s="25">
        <v>0</v>
      </c>
      <c r="K57" s="15">
        <f t="shared" si="16"/>
        <v>5.4323522170937999E-2</v>
      </c>
      <c r="L57" s="23">
        <f t="shared" ref="L57:L69" si="19">J57+I57</f>
        <v>2096036</v>
      </c>
      <c r="M57" s="24">
        <f t="shared" si="3"/>
        <v>36488281</v>
      </c>
      <c r="N57" s="17">
        <f t="shared" si="13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11"/>
      <c r="E58" s="22"/>
      <c r="F58" s="34"/>
      <c r="G58" s="61"/>
      <c r="H58" s="20">
        <f t="shared" si="18"/>
        <v>0</v>
      </c>
      <c r="I58" s="21">
        <f>JULIO!I58+JULIO!J58</f>
        <v>0</v>
      </c>
      <c r="J58" s="21">
        <v>0</v>
      </c>
      <c r="K58" s="15">
        <v>0</v>
      </c>
      <c r="L58" s="16">
        <f t="shared" si="19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11"/>
      <c r="E59" s="22"/>
      <c r="F59" s="34"/>
      <c r="G59" s="61"/>
      <c r="H59" s="20">
        <f t="shared" si="18"/>
        <v>2664792</v>
      </c>
      <c r="I59" s="21">
        <f>JULIO!I59+JULIO!J59</f>
        <v>1983600</v>
      </c>
      <c r="J59" s="41">
        <f>'LIBRO DE PRESUPUESTO'!J592</f>
        <v>284100</v>
      </c>
      <c r="K59" s="15">
        <f t="shared" si="16"/>
        <v>0.850985742977313</v>
      </c>
      <c r="L59" s="23">
        <f t="shared" si="19"/>
        <v>2267700</v>
      </c>
      <c r="M59" s="24">
        <f t="shared" si="3"/>
        <v>397092</v>
      </c>
      <c r="N59" s="17">
        <f t="shared" ref="N59:N65" si="20">M59/H59</f>
        <v>0.14901425702268695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11"/>
      <c r="E60" s="22"/>
      <c r="F60" s="34"/>
      <c r="G60" s="61"/>
      <c r="H60" s="20">
        <f t="shared" si="18"/>
        <v>40228819</v>
      </c>
      <c r="I60" s="21">
        <f>JULIO!I60+JULIO!J60</f>
        <v>26715797</v>
      </c>
      <c r="J60" s="37">
        <f>'LIBRO DE PRESUPUESTO'!J609</f>
        <v>4135148</v>
      </c>
      <c r="K60" s="15">
        <f t="shared" si="16"/>
        <v>0.76688666898225377</v>
      </c>
      <c r="L60" s="23">
        <f t="shared" si="19"/>
        <v>30850945</v>
      </c>
      <c r="M60" s="24">
        <f t="shared" si="3"/>
        <v>9377874</v>
      </c>
      <c r="N60" s="17">
        <f t="shared" si="20"/>
        <v>0.23311333101774626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11"/>
      <c r="E61" s="22"/>
      <c r="F61" s="34"/>
      <c r="G61" s="61"/>
      <c r="H61" s="20">
        <f t="shared" si="18"/>
        <v>20419860</v>
      </c>
      <c r="I61" s="21">
        <f>JULIO!I61+JULIO!J61</f>
        <v>12954400</v>
      </c>
      <c r="J61" s="41">
        <f>'LIBRO DE PRESUPUESTO'!J624</f>
        <v>1804500</v>
      </c>
      <c r="K61" s="15">
        <f t="shared" si="16"/>
        <v>0.72277185054158055</v>
      </c>
      <c r="L61" s="23">
        <f t="shared" si="19"/>
        <v>14758900</v>
      </c>
      <c r="M61" s="24">
        <f t="shared" si="3"/>
        <v>5660960</v>
      </c>
      <c r="N61" s="17">
        <f t="shared" si="20"/>
        <v>0.27722814945841939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11"/>
      <c r="E62" s="22"/>
      <c r="F62" s="34"/>
      <c r="G62" s="61"/>
      <c r="H62" s="20">
        <f t="shared" si="18"/>
        <v>15314892</v>
      </c>
      <c r="I62" s="21">
        <f>JULIO!I62+JULIO!J62</f>
        <v>9748900</v>
      </c>
      <c r="J62" s="41">
        <f>'LIBRO DE PRESUPUESTO'!J640</f>
        <v>1353400</v>
      </c>
      <c r="K62" s="15">
        <f t="shared" si="16"/>
        <v>0.72493491955411771</v>
      </c>
      <c r="L62" s="23">
        <f t="shared" si="19"/>
        <v>11102300</v>
      </c>
      <c r="M62" s="24">
        <f t="shared" si="3"/>
        <v>4212592</v>
      </c>
      <c r="N62" s="17">
        <f t="shared" si="20"/>
        <v>0.27506508044588235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11"/>
      <c r="E63" s="22"/>
      <c r="F63" s="34"/>
      <c r="G63" s="61"/>
      <c r="H63" s="20">
        <f t="shared" si="18"/>
        <v>2552484</v>
      </c>
      <c r="I63" s="21">
        <f>JULIO!I63+JULIO!J63</f>
        <v>1627900</v>
      </c>
      <c r="J63" s="41">
        <f>'LIBRO DE PRESUPUESTO'!J656</f>
        <v>226000</v>
      </c>
      <c r="K63" s="15">
        <f t="shared" si="16"/>
        <v>0.72631209441469569</v>
      </c>
      <c r="L63" s="23">
        <f t="shared" si="19"/>
        <v>1853900</v>
      </c>
      <c r="M63" s="24">
        <f t="shared" si="3"/>
        <v>698584</v>
      </c>
      <c r="N63" s="17">
        <f t="shared" si="20"/>
        <v>0.27368790558530437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11"/>
      <c r="E64" s="22"/>
      <c r="F64" s="34"/>
      <c r="G64" s="61"/>
      <c r="H64" s="20">
        <f t="shared" si="18"/>
        <v>2552484</v>
      </c>
      <c r="I64" s="21">
        <f>JULIO!I64+JULIO!J64</f>
        <v>1627900</v>
      </c>
      <c r="J64" s="41">
        <f>'LIBRO DE PRESUPUESTO'!J671</f>
        <v>226000</v>
      </c>
      <c r="K64" s="15">
        <f t="shared" si="16"/>
        <v>0.72631209441469569</v>
      </c>
      <c r="L64" s="23">
        <f t="shared" si="19"/>
        <v>1853900</v>
      </c>
      <c r="M64" s="24">
        <f t="shared" si="3"/>
        <v>698584</v>
      </c>
      <c r="N64" s="17">
        <f t="shared" si="20"/>
        <v>0.27368790558530437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11"/>
      <c r="E65" s="22"/>
      <c r="F65" s="34"/>
      <c r="G65" s="61"/>
      <c r="H65" s="20">
        <f t="shared" si="18"/>
        <v>5104968</v>
      </c>
      <c r="I65" s="21">
        <f>JULIO!I65+JULIO!J65</f>
        <v>3252300</v>
      </c>
      <c r="J65" s="41">
        <f>'LIBRO DE PRESUPUESTO'!J691</f>
        <v>451000</v>
      </c>
      <c r="K65" s="15">
        <f t="shared" si="16"/>
        <v>0.72543060015263561</v>
      </c>
      <c r="L65" s="23">
        <f t="shared" si="19"/>
        <v>3703300</v>
      </c>
      <c r="M65" s="24">
        <f t="shared" si="3"/>
        <v>1401668</v>
      </c>
      <c r="N65" s="17">
        <f t="shared" si="20"/>
        <v>0.27456939984736439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8"/>
        <v>0</v>
      </c>
      <c r="I66" s="21">
        <f>JULIO!I66+JULIO!J66</f>
        <v>0</v>
      </c>
      <c r="J66" s="21">
        <v>0</v>
      </c>
      <c r="K66" s="15">
        <v>0</v>
      </c>
      <c r="L66" s="16">
        <f t="shared" si="19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9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8"/>
        <v>0</v>
      </c>
      <c r="I68" s="21">
        <f>JUNIO!I68+JUNIO!J68</f>
        <v>0</v>
      </c>
      <c r="J68" s="89">
        <v>0</v>
      </c>
      <c r="K68" s="15">
        <v>0</v>
      </c>
      <c r="L68" s="23">
        <f t="shared" si="19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8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9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21">E8+E20+E25+E31+E49+E51+E56+E67</f>
        <v>241428242</v>
      </c>
      <c r="F70" s="83">
        <f t="shared" si="21"/>
        <v>29281983</v>
      </c>
      <c r="G70" s="83">
        <f t="shared" si="21"/>
        <v>29281983</v>
      </c>
      <c r="H70" s="83">
        <f t="shared" si="21"/>
        <v>1215021308.2334807</v>
      </c>
      <c r="I70" s="83">
        <f t="shared" si="21"/>
        <v>594071349</v>
      </c>
      <c r="J70" s="83">
        <f t="shared" si="21"/>
        <v>86311630</v>
      </c>
      <c r="K70" s="84">
        <f>L70/H70</f>
        <v>0.55997617028561308</v>
      </c>
      <c r="L70" s="83">
        <f>L8+L20+L25+L31+L49+L51+L56+L67</f>
        <v>680382979</v>
      </c>
      <c r="M70" s="83">
        <f>M8+M20+M25+M31+M51+M49+M56+M67</f>
        <v>534638329.23348063</v>
      </c>
      <c r="N70" s="85">
        <f>M70/H70</f>
        <v>0.44002382971438686</v>
      </c>
    </row>
    <row r="71" spans="1:16" ht="35.25" customHeight="1" thickBot="1" x14ac:dyDescent="0.3">
      <c r="A71" s="81" t="s">
        <v>114</v>
      </c>
      <c r="B71" s="444" t="s">
        <v>115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41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261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268472709</v>
      </c>
      <c r="J8" s="65">
        <f>SUM(J9:J19)</f>
        <v>67692667</v>
      </c>
      <c r="K8" s="66">
        <f>L8/H8</f>
        <v>0.50930977354976048</v>
      </c>
      <c r="L8" s="67">
        <f>I8+J8</f>
        <v>336165376</v>
      </c>
      <c r="M8" s="65">
        <f>SUM(M9:M19)</f>
        <v>323875709.91321975</v>
      </c>
      <c r="N8" s="68">
        <f>M8/H8</f>
        <v>0.49069022645023941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JUNIO!I9+JUNIO!J9</f>
        <v>242264064</v>
      </c>
      <c r="J9" s="41">
        <f>'LIBRO DE PRESUPUESTO'!J14+'LIBRO DE PRESUPUESTO'!J15</f>
        <v>40207738</v>
      </c>
      <c r="K9" s="15">
        <f>L9/H9</f>
        <v>0.55514491192223547</v>
      </c>
      <c r="L9" s="23">
        <f t="shared" ref="L9:L15" si="1">J9+I9</f>
        <v>282471802</v>
      </c>
      <c r="M9" s="24">
        <f>H9-L9</f>
        <v>226353544.20000005</v>
      </c>
      <c r="N9" s="17">
        <f>M9/H9</f>
        <v>0.44485508807776453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JUNIO!I10+JUNIO!J10</f>
        <v>0</v>
      </c>
      <c r="J10" s="21"/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JUNIO!I11+JUNIO!J11</f>
        <v>499862</v>
      </c>
      <c r="J11" s="21">
        <f>'LIBRO DE PRESUPUESTO'!J37</f>
        <v>88211</v>
      </c>
      <c r="K11" s="15">
        <f>L11/H11</f>
        <v>0.54577824255977581</v>
      </c>
      <c r="L11" s="23">
        <f t="shared" si="1"/>
        <v>588073</v>
      </c>
      <c r="M11" s="24">
        <f t="shared" si="3"/>
        <v>489421.39999999991</v>
      </c>
      <c r="N11" s="17">
        <f>M11/H11</f>
        <v>0.45422175744022425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2"/>
        <v>1484049.6</v>
      </c>
      <c r="I12" s="21">
        <f>JUNIO!I12+JUNIO!J12</f>
        <v>549552</v>
      </c>
      <c r="J12" s="21">
        <v>0</v>
      </c>
      <c r="K12" s="15">
        <f t="shared" ref="K12:K48" si="4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>M12/H12</f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JUNIO!I13+JUNIO!J13</f>
        <v>6724464</v>
      </c>
      <c r="J13" s="41">
        <f>'LIBRO DE PRESUPUESTO'!J72+'LIBRO DE PRESUPUESTO'!J73+'LIBRO DE PRESUPUESTO'!J74</f>
        <v>1465805</v>
      </c>
      <c r="K13" s="15">
        <f t="shared" si="4"/>
        <v>0.54468380703780617</v>
      </c>
      <c r="L13" s="23">
        <f t="shared" si="1"/>
        <v>8190269</v>
      </c>
      <c r="M13" s="24">
        <f t="shared" si="3"/>
        <v>6846471.3880459368</v>
      </c>
      <c r="N13" s="17">
        <f>M13/H13</f>
        <v>0.45531619296219383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JUNIO!I14+JUNIO!J14</f>
        <v>0</v>
      </c>
      <c r="J14" s="41">
        <f>'LIBRO DE PRESUPUESTO'!J81+'LIBRO DE PRESUPUESTO'!J82</f>
        <v>21513210</v>
      </c>
      <c r="K14" s="15">
        <f t="shared" si="4"/>
        <v>0.97769755068284736</v>
      </c>
      <c r="L14" s="23">
        <f t="shared" si="1"/>
        <v>21513210</v>
      </c>
      <c r="M14" s="24">
        <f t="shared" si="3"/>
        <v>490742.02481039241</v>
      </c>
      <c r="N14" s="17">
        <f>M14/H14</f>
        <v>2.230244931715266E-2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JUNIO!I15+JUNIO!J15</f>
        <v>7738515</v>
      </c>
      <c r="J15" s="41">
        <f>'LIBRO DE PRESUPUESTO'!J93+'LIBRO DE PRESUPUESTO'!J94</f>
        <v>579295</v>
      </c>
      <c r="K15" s="15">
        <f t="shared" si="4"/>
        <v>0.3628937924876614</v>
      </c>
      <c r="L15" s="23">
        <f t="shared" si="1"/>
        <v>8317810</v>
      </c>
      <c r="M15" s="24">
        <f t="shared" si="3"/>
        <v>14602973.359177493</v>
      </c>
      <c r="N15" s="17">
        <f>M15/H15</f>
        <v>0.6371062075123386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JUNIO!I16+JUNIO!J16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JUNIO!I17+JUNIO!J17</f>
        <v>10696252</v>
      </c>
      <c r="J17" s="41">
        <f>'LIBRO DE PRESUPUESTO'!J110+'LIBRO DE PRESUPUESTO'!J111</f>
        <v>2554695</v>
      </c>
      <c r="K17" s="15">
        <f t="shared" si="4"/>
        <v>0.35694122051816402</v>
      </c>
      <c r="L17" s="23">
        <f>J17+I17</f>
        <v>13250947</v>
      </c>
      <c r="M17" s="24">
        <f t="shared" si="3"/>
        <v>23872663.942899451</v>
      </c>
      <c r="N17" s="17">
        <f>M17/H17</f>
        <v>0.64305877948183598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JUNIO!I18+JUNIO!J18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JUNIO!I19+JUNIO!J19</f>
        <v>0</v>
      </c>
      <c r="J19" s="41">
        <f>'LIBRO DE PRESUPUESTO'!J123</f>
        <v>1283713</v>
      </c>
      <c r="K19" s="15">
        <f t="shared" si="4"/>
        <v>2.6883123074119553E-2</v>
      </c>
      <c r="L19" s="23">
        <f t="shared" ref="L19:L30" si="5">J19+I19</f>
        <v>1283713</v>
      </c>
      <c r="M19" s="24">
        <f t="shared" si="3"/>
        <v>46467918.998286448</v>
      </c>
      <c r="N19" s="17">
        <f>M19/H19</f>
        <v>0.97311687692588045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JUNIO!I21+JUNIO!J21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JUNIO!I22+JUNIO!J22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JUNIO!I23+JUNIO!J23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JUNIO!I24+JUNIO!J24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20652600</v>
      </c>
      <c r="J25" s="65">
        <f t="shared" si="7"/>
        <v>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JUNIO!I26+JUNIO!J26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JUNIO!I27+JUNIO!J27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JUNIO!I28+JUNIO!J28</f>
        <v>20652600</v>
      </c>
      <c r="J28" s="21"/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JUNIO!I29+JUNIO!J29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JUNIO!I30+JUNIO!J30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86413425</v>
      </c>
      <c r="J31" s="65">
        <f t="shared" si="8"/>
        <v>22212730</v>
      </c>
      <c r="K31" s="66">
        <f>L31/H31</f>
        <v>0.54839452891792817</v>
      </c>
      <c r="L31" s="67">
        <f>I31+J31</f>
        <v>108626155</v>
      </c>
      <c r="M31" s="72">
        <f>SUM(M32:M48)</f>
        <v>89454149</v>
      </c>
      <c r="N31" s="68">
        <f>M31/H31</f>
        <v>0.45160547108207183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JUNIO!I32+JUNIO!J32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JUNIO!I33+JUNIO!J33</f>
        <v>2281000</v>
      </c>
      <c r="J33" s="21">
        <f>'LIBRO DE PRESUPUESTO'!J197</f>
        <v>1820000</v>
      </c>
      <c r="K33" s="15">
        <f t="shared" si="4"/>
        <v>0.27339999999999998</v>
      </c>
      <c r="L33" s="23">
        <f t="shared" si="10"/>
        <v>4101000</v>
      </c>
      <c r="M33" s="24">
        <f t="shared" si="3"/>
        <v>10899000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JUNIO!I34+JUNIO!J34</f>
        <v>39298328</v>
      </c>
      <c r="J34" s="21"/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JUNIO!I35+JUNIO!J35</f>
        <v>11894903</v>
      </c>
      <c r="J35" s="21">
        <f>SUM('LIBRO DE PRESUPUESTO'!J266:J282)</f>
        <v>19062337</v>
      </c>
      <c r="K35" s="15">
        <f t="shared" si="4"/>
        <v>0.61914480000000005</v>
      </c>
      <c r="L35" s="23">
        <f t="shared" si="10"/>
        <v>30957240</v>
      </c>
      <c r="M35" s="24">
        <f t="shared" si="3"/>
        <v>19042760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JUNIO!I36+JUNIO!J36</f>
        <v>534100</v>
      </c>
      <c r="J36" s="41">
        <v>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JUNIO!I37+JUNIO!J37</f>
        <v>4307200</v>
      </c>
      <c r="J37" s="41">
        <f>'LIBRO DE PRESUPUESTO'!J368+'LIBRO DE PRESUPUESTO'!J369</f>
        <v>594700</v>
      </c>
      <c r="K37" s="15">
        <f t="shared" si="4"/>
        <v>0.45387962962962963</v>
      </c>
      <c r="L37" s="23">
        <f t="shared" si="10"/>
        <v>4901900</v>
      </c>
      <c r="M37" s="24">
        <f t="shared" si="3"/>
        <v>5898100</v>
      </c>
      <c r="N37" s="17">
        <f>M37/H37</f>
        <v>0.54612037037037042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JUNIO!I38+JUNIO!J38</f>
        <v>2936842</v>
      </c>
      <c r="J38" s="41">
        <f>'LIBRO DE PRESUPUESTO'!J395+'LIBRO DE PRESUPUESTO'!J396+'LIBRO DE PRESUPUESTO'!J397+'LIBRO DE PRESUPUESTO'!J398</f>
        <v>470093</v>
      </c>
      <c r="K38" s="15">
        <f t="shared" si="4"/>
        <v>0.5162022727272727</v>
      </c>
      <c r="L38" s="23">
        <f t="shared" si="10"/>
        <v>3406935</v>
      </c>
      <c r="M38" s="24">
        <f t="shared" si="3"/>
        <v>3193065</v>
      </c>
      <c r="N38" s="17">
        <f>M38/H38</f>
        <v>0.4837977272727273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JUNIO!I39+JUNIO!J39</f>
        <v>694800</v>
      </c>
      <c r="J39" s="25">
        <f>'LIBRO DE PRESUPUESTO'!J426+'LIBRO DE PRESUPUESTO'!J427</f>
        <v>265600</v>
      </c>
      <c r="K39" s="15">
        <f t="shared" si="4"/>
        <v>0.50020833333333337</v>
      </c>
      <c r="L39" s="23">
        <f t="shared" si="10"/>
        <v>960400</v>
      </c>
      <c r="M39" s="24">
        <f t="shared" si="3"/>
        <v>959600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JUNIO!I40+JUNIO!J40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JUNIO!I41+JUNIO!J41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9"/>
        <v>8631976</v>
      </c>
      <c r="I42" s="21">
        <f>JUNIO!I42+JUNIO!J42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JUNIO!I43+JUNIO!J43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JUNIO!I44+JUNIO!J44</f>
        <v>500000</v>
      </c>
      <c r="J44" s="43">
        <v>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JUNIO!I45+JUNIO!J45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JUNIO!I46+JUNIO!J46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JUNIO!I47+JUNIO!J47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JUNIO!I48+JUNIO!J48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296">
        <f t="shared" ref="C49:J49" si="12">C50</f>
        <v>0</v>
      </c>
      <c r="D49" s="296">
        <f t="shared" si="12"/>
        <v>0</v>
      </c>
      <c r="E49" s="296">
        <f t="shared" si="12"/>
        <v>0</v>
      </c>
      <c r="F49" s="296">
        <f t="shared" si="12"/>
        <v>1000000</v>
      </c>
      <c r="G49" s="296">
        <f t="shared" si="12"/>
        <v>0</v>
      </c>
      <c r="H49" s="296">
        <f t="shared" si="12"/>
        <v>1000000</v>
      </c>
      <c r="I49" s="297">
        <f t="shared" si="12"/>
        <v>335104</v>
      </c>
      <c r="J49" s="309">
        <f t="shared" si="12"/>
        <v>93653</v>
      </c>
      <c r="K49" s="298">
        <v>0</v>
      </c>
      <c r="L49" s="63">
        <f t="shared" si="10"/>
        <v>428757</v>
      </c>
      <c r="M49" s="299">
        <f>M50</f>
        <v>571243</v>
      </c>
      <c r="N49" s="310">
        <f t="shared" si="11"/>
        <v>0.57124299999999995</v>
      </c>
    </row>
    <row r="50" spans="1:16" ht="15" x14ac:dyDescent="0.25">
      <c r="A50" s="96">
        <v>2020120301</v>
      </c>
      <c r="B50" s="31" t="s">
        <v>191</v>
      </c>
      <c r="C50" s="295"/>
      <c r="D50" s="21"/>
      <c r="E50" s="22"/>
      <c r="F50" s="34">
        <v>1000000</v>
      </c>
      <c r="G50" s="61"/>
      <c r="H50" s="20">
        <f>C50-D50+E50+F50-G50</f>
        <v>1000000</v>
      </c>
      <c r="I50" s="21">
        <f>JUNIO!I50+JUNIO!J50</f>
        <v>335104</v>
      </c>
      <c r="J50" s="21">
        <f>'LIBRO DE PRESUPUESTO'!J502</f>
        <v>93653</v>
      </c>
      <c r="K50" s="15"/>
      <c r="L50" s="23">
        <f t="shared" si="10"/>
        <v>428757</v>
      </c>
      <c r="M50" s="24">
        <f t="shared" si="3"/>
        <v>571243</v>
      </c>
      <c r="N50" s="17">
        <f t="shared" si="11"/>
        <v>0.57124299999999995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28850783</v>
      </c>
      <c r="J51" s="70">
        <f t="shared" si="13"/>
        <v>4508745</v>
      </c>
      <c r="K51" s="66">
        <f>L51/H51</f>
        <v>0.39819291235320969</v>
      </c>
      <c r="L51" s="70">
        <f>SUM(L52:L55)</f>
        <v>33359528</v>
      </c>
      <c r="M51" s="70">
        <f>SUM(M52:M55)</f>
        <v>50417774.320260897</v>
      </c>
      <c r="N51" s="68">
        <f t="shared" si="11"/>
        <v>0.60180708764679025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11"/>
      <c r="E52" s="22"/>
      <c r="F52" s="34"/>
      <c r="G52" s="61"/>
      <c r="H52" s="20">
        <f>C52-D52+E52+F52-G52</f>
        <v>13146617.570005897</v>
      </c>
      <c r="I52" s="21">
        <f>JUNIO!I52+JUNIO!J52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11"/>
      <c r="E53" s="22"/>
      <c r="F53" s="34"/>
      <c r="G53" s="61"/>
      <c r="H53" s="20">
        <f>C53-D53+E53+F53-G53</f>
        <v>43392204</v>
      </c>
      <c r="I53" s="21">
        <f>JUNIO!I53+JUNIO!J53</f>
        <v>21337349</v>
      </c>
      <c r="J53" s="41">
        <f>'LIBRO DE PRESUPUESTO'!J533+'LIBRO DE PRESUPUESTO'!J534</f>
        <v>3482954</v>
      </c>
      <c r="K53" s="15">
        <f t="shared" si="14"/>
        <v>0.57199913145688563</v>
      </c>
      <c r="L53" s="23">
        <f>J53+I53</f>
        <v>24820303</v>
      </c>
      <c r="M53" s="24">
        <f t="shared" si="3"/>
        <v>18571901</v>
      </c>
      <c r="N53" s="17">
        <f t="shared" si="11"/>
        <v>0.42800086854311431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11"/>
      <c r="E54" s="22"/>
      <c r="F54" s="34"/>
      <c r="G54" s="61"/>
      <c r="H54" s="20">
        <f>C54-D54+E54+F54-G54</f>
        <v>21030768.590477761</v>
      </c>
      <c r="I54" s="21">
        <f>JUNIO!I54+JUNIO!J54</f>
        <v>7513434</v>
      </c>
      <c r="J54" s="41">
        <f>'LIBRO DE PRESUPUESTO'!J548+'LIBRO DE PRESUPUESTO'!J549</f>
        <v>880964</v>
      </c>
      <c r="K54" s="15">
        <f t="shared" si="14"/>
        <v>0.39914841741926571</v>
      </c>
      <c r="L54" s="23">
        <f>J54+I54</f>
        <v>8394398</v>
      </c>
      <c r="M54" s="24">
        <f t="shared" si="3"/>
        <v>12636370.590477761</v>
      </c>
      <c r="N54" s="17">
        <f t="shared" si="11"/>
        <v>0.60085158258073423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12"/>
      <c r="E55" s="22"/>
      <c r="F55" s="34"/>
      <c r="G55" s="44"/>
      <c r="H55" s="20">
        <f>C55-D55+E55+F55-G55</f>
        <v>6207712.159777239</v>
      </c>
      <c r="I55" s="21">
        <f>JUNIO!I55+JUNIO!J55</f>
        <v>0</v>
      </c>
      <c r="J55" s="20">
        <f>'LIBRO DE PRESUPUESTO'!J560</f>
        <v>144827</v>
      </c>
      <c r="K55" s="15">
        <f t="shared" si="14"/>
        <v>2.3330173222013091E-2</v>
      </c>
      <c r="L55" s="23">
        <f>J55+I55</f>
        <v>144827</v>
      </c>
      <c r="M55" s="24">
        <f t="shared" si="3"/>
        <v>6062885.159777239</v>
      </c>
      <c r="N55" s="17">
        <f t="shared" si="11"/>
        <v>0.97666982677798686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49326892</v>
      </c>
      <c r="J56" s="65">
        <f t="shared" si="15"/>
        <v>10679941</v>
      </c>
      <c r="K56" s="66">
        <f>L56/H56</f>
        <v>0.47092764913883106</v>
      </c>
      <c r="L56" s="67">
        <f>SUM(L57:L66)</f>
        <v>60006833</v>
      </c>
      <c r="M56" s="72">
        <f>SUM(M57:M66)</f>
        <v>67415783</v>
      </c>
      <c r="N56" s="68">
        <f t="shared" si="11"/>
        <v>0.52907235086116899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11"/>
      <c r="E57" s="22"/>
      <c r="F57" s="34"/>
      <c r="G57" s="61"/>
      <c r="H57" s="20">
        <f t="shared" ref="H57:H69" si="16">C57-D57+E57+F57-G57</f>
        <v>38584317</v>
      </c>
      <c r="I57" s="21">
        <f>JUNIO!I57+JUNIO!J57</f>
        <v>889141</v>
      </c>
      <c r="J57" s="25">
        <f>'LIBRO DE PRESUPUESTO'!J569</f>
        <v>1206895</v>
      </c>
      <c r="K57" s="15">
        <f t="shared" si="14"/>
        <v>5.4323522170937999E-2</v>
      </c>
      <c r="L57" s="23">
        <f t="shared" ref="L57:L69" si="17">J57+I57</f>
        <v>2096036</v>
      </c>
      <c r="M57" s="24">
        <f t="shared" si="3"/>
        <v>36488281</v>
      </c>
      <c r="N57" s="17">
        <f t="shared" si="11"/>
        <v>0.94567647782906195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11"/>
      <c r="E58" s="22"/>
      <c r="F58" s="34"/>
      <c r="G58" s="61"/>
      <c r="H58" s="20">
        <f t="shared" si="16"/>
        <v>0</v>
      </c>
      <c r="I58" s="21">
        <f>JUNIO!I58+JUNIO!J58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11"/>
      <c r="E59" s="22"/>
      <c r="F59" s="34"/>
      <c r="G59" s="61"/>
      <c r="H59" s="20">
        <f t="shared" si="16"/>
        <v>2664792</v>
      </c>
      <c r="I59" s="21">
        <f>JUNIO!I59+JUNIO!J59</f>
        <v>1702800</v>
      </c>
      <c r="J59" s="41">
        <f>'LIBRO DE PRESUPUESTO'!J591</f>
        <v>280800</v>
      </c>
      <c r="K59" s="15">
        <f t="shared" si="14"/>
        <v>0.74437329442598144</v>
      </c>
      <c r="L59" s="23">
        <f t="shared" si="17"/>
        <v>1983600</v>
      </c>
      <c r="M59" s="24">
        <f t="shared" si="3"/>
        <v>681192</v>
      </c>
      <c r="N59" s="17">
        <f t="shared" ref="N59:N65" si="18">M59/H59</f>
        <v>0.25562670557401851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11"/>
      <c r="E60" s="22"/>
      <c r="F60" s="34"/>
      <c r="G60" s="61"/>
      <c r="H60" s="20">
        <f t="shared" si="16"/>
        <v>40228819</v>
      </c>
      <c r="I60" s="21">
        <f>JUNIO!I60+JUNIO!J60</f>
        <v>22855851</v>
      </c>
      <c r="J60" s="37">
        <f>'LIBRO DE PRESUPUESTO'!J607+'LIBRO DE PRESUPUESTO'!J608</f>
        <v>3859946</v>
      </c>
      <c r="K60" s="15">
        <f t="shared" si="14"/>
        <v>0.66409598054568786</v>
      </c>
      <c r="L60" s="23">
        <f t="shared" si="17"/>
        <v>26715797</v>
      </c>
      <c r="M60" s="24">
        <f t="shared" si="3"/>
        <v>13513022</v>
      </c>
      <c r="N60" s="17">
        <f t="shared" si="18"/>
        <v>0.33590401945431209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11"/>
      <c r="E61" s="22"/>
      <c r="F61" s="34"/>
      <c r="G61" s="61"/>
      <c r="H61" s="20">
        <f t="shared" si="16"/>
        <v>20419860</v>
      </c>
      <c r="I61" s="21">
        <f>JUNIO!I61+JUNIO!J61</f>
        <v>10585200</v>
      </c>
      <c r="J61" s="41">
        <f>'LIBRO DE PRESUPUESTO'!J623</f>
        <v>2369200</v>
      </c>
      <c r="K61" s="15">
        <f t="shared" si="14"/>
        <v>0.63440199883838577</v>
      </c>
      <c r="L61" s="23">
        <f t="shared" si="17"/>
        <v>12954400</v>
      </c>
      <c r="M61" s="24">
        <f t="shared" si="3"/>
        <v>7465460</v>
      </c>
      <c r="N61" s="17">
        <f t="shared" si="18"/>
        <v>0.36559800116161423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11"/>
      <c r="E62" s="22"/>
      <c r="F62" s="34"/>
      <c r="G62" s="61"/>
      <c r="H62" s="20">
        <f t="shared" si="16"/>
        <v>15314892</v>
      </c>
      <c r="I62" s="21">
        <f>JUNIO!I62+JUNIO!J62</f>
        <v>7971700</v>
      </c>
      <c r="J62" s="41">
        <f>'LIBRO DE PRESUPUESTO'!J639</f>
        <v>1777200</v>
      </c>
      <c r="K62" s="15">
        <f t="shared" si="14"/>
        <v>0.63656341814228923</v>
      </c>
      <c r="L62" s="23">
        <f t="shared" si="17"/>
        <v>9748900</v>
      </c>
      <c r="M62" s="24">
        <f t="shared" si="3"/>
        <v>5565992</v>
      </c>
      <c r="N62" s="17">
        <f t="shared" si="18"/>
        <v>0.36343658185771077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11"/>
      <c r="E63" s="22"/>
      <c r="F63" s="34"/>
      <c r="G63" s="61"/>
      <c r="H63" s="20">
        <f t="shared" si="16"/>
        <v>2552484</v>
      </c>
      <c r="I63" s="21">
        <f>JUNIO!I63+JUNIO!J63</f>
        <v>1331300</v>
      </c>
      <c r="J63" s="41">
        <f>'LIBRO DE PRESUPUESTO'!J655</f>
        <v>296600</v>
      </c>
      <c r="K63" s="15">
        <f t="shared" si="14"/>
        <v>0.63777089298111178</v>
      </c>
      <c r="L63" s="23">
        <f t="shared" si="17"/>
        <v>1627900</v>
      </c>
      <c r="M63" s="24">
        <f t="shared" si="3"/>
        <v>924584</v>
      </c>
      <c r="N63" s="17">
        <f t="shared" si="18"/>
        <v>0.36222910701888827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11"/>
      <c r="E64" s="22"/>
      <c r="F64" s="34"/>
      <c r="G64" s="61"/>
      <c r="H64" s="20">
        <f t="shared" si="16"/>
        <v>2552484</v>
      </c>
      <c r="I64" s="21">
        <f>JUNIO!I64+JUNIO!J64</f>
        <v>1331300</v>
      </c>
      <c r="J64" s="41">
        <f>'LIBRO DE PRESUPUESTO'!J670</f>
        <v>296600</v>
      </c>
      <c r="K64" s="15">
        <f t="shared" si="14"/>
        <v>0.63777089298111178</v>
      </c>
      <c r="L64" s="23">
        <f t="shared" si="17"/>
        <v>1627900</v>
      </c>
      <c r="M64" s="24">
        <f t="shared" si="3"/>
        <v>924584</v>
      </c>
      <c r="N64" s="17">
        <f t="shared" si="18"/>
        <v>0.36222910701888827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11"/>
      <c r="E65" s="22"/>
      <c r="F65" s="34"/>
      <c r="G65" s="61"/>
      <c r="H65" s="20">
        <f t="shared" si="16"/>
        <v>5104968</v>
      </c>
      <c r="I65" s="21">
        <f>JUNIO!I65+JUNIO!J65</f>
        <v>2659600</v>
      </c>
      <c r="J65" s="41">
        <f>'LIBRO DE PRESUPUESTO'!J690</f>
        <v>592700</v>
      </c>
      <c r="K65" s="15">
        <f t="shared" si="14"/>
        <v>0.63708528633284278</v>
      </c>
      <c r="L65" s="23">
        <f t="shared" si="17"/>
        <v>3252300</v>
      </c>
      <c r="M65" s="24">
        <f t="shared" si="3"/>
        <v>1852668</v>
      </c>
      <c r="N65" s="17">
        <f t="shared" si="18"/>
        <v>0.36291471366715716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JUNIO!I66+JUNIO!J66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21">
        <f>JUNIO!I68+JUNIO!J68</f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21">
        <f>JUNIO!I69+JUNIO!J69</f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488883613</v>
      </c>
      <c r="J70" s="83">
        <f t="shared" si="19"/>
        <v>105187736</v>
      </c>
      <c r="K70" s="84">
        <f>L70/H70</f>
        <v>0.48893903750850282</v>
      </c>
      <c r="L70" s="83">
        <f>L8+L20+L25+L31+L49+L51+L56+L67</f>
        <v>594071349</v>
      </c>
      <c r="M70" s="83">
        <f>M8+M20+M25+M31+M51+M49+M56+M67</f>
        <v>620949959.23348069</v>
      </c>
      <c r="N70" s="85">
        <f>M70/H70</f>
        <v>0.51106096249149713</v>
      </c>
    </row>
    <row r="71" spans="1:16" ht="35.25" customHeight="1" thickBot="1" x14ac:dyDescent="0.3">
      <c r="A71" s="81" t="s">
        <v>114</v>
      </c>
      <c r="B71" s="444" t="s">
        <v>115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26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 x14ac:dyDescent="0.2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ht="18" x14ac:dyDescent="0.25">
      <c r="A3" s="441" t="s">
        <v>245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42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443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214587420</v>
      </c>
      <c r="J8" s="65">
        <f>SUM(J9:J19)</f>
        <v>53885289</v>
      </c>
      <c r="K8" s="66">
        <f>L8/H8</f>
        <v>0.40675151097381529</v>
      </c>
      <c r="L8" s="67">
        <f>I8+J8</f>
        <v>268472709</v>
      </c>
      <c r="M8" s="65">
        <f>SUM(M9:M19)</f>
        <v>391568376.91321969</v>
      </c>
      <c r="N8" s="68">
        <f>M8/H8</f>
        <v>0.59324848902618454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11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MAYO!I9+MAYO!J9</f>
        <v>203525947</v>
      </c>
      <c r="J9" s="41">
        <f>'LIBRO DE PRESUPUESTO'!J13</f>
        <v>38738117</v>
      </c>
      <c r="K9" s="15">
        <f>L9/H9</f>
        <v>0.47612420609403983</v>
      </c>
      <c r="L9" s="23">
        <f t="shared" ref="L9:L15" si="1">J9+I9</f>
        <v>242264064</v>
      </c>
      <c r="M9" s="24">
        <f>H9-L9</f>
        <v>266561282.20000005</v>
      </c>
      <c r="N9" s="17">
        <f>M9/H9</f>
        <v>0.52387579390596017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11"/>
      <c r="E10" s="22"/>
      <c r="F10" s="34"/>
      <c r="G10" s="61"/>
      <c r="H10" s="20">
        <f t="shared" ref="H10:H24" si="2">C10-D10+E10+F10-G10</f>
        <v>0</v>
      </c>
      <c r="I10" s="21">
        <f>MAYO!I10+MAYO!J10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11"/>
      <c r="E11" s="22"/>
      <c r="F11" s="34"/>
      <c r="G11" s="61"/>
      <c r="H11" s="20">
        <f t="shared" si="2"/>
        <v>1077494.3999999999</v>
      </c>
      <c r="I11" s="21">
        <f>MAYO!I11+MAYO!J11</f>
        <v>411651</v>
      </c>
      <c r="J11" s="21">
        <f>'LIBRO DE PRESUPUESTO'!J36</f>
        <v>88211</v>
      </c>
      <c r="K11" s="15">
        <f>L11/H11</f>
        <v>0.46391145977185594</v>
      </c>
      <c r="L11" s="23">
        <f t="shared" si="1"/>
        <v>499862</v>
      </c>
      <c r="M11" s="24">
        <f t="shared" si="3"/>
        <v>577632.39999999991</v>
      </c>
      <c r="N11" s="17">
        <f>M11/H11</f>
        <v>0.53608854022814412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11"/>
      <c r="E12" s="22"/>
      <c r="F12" s="34"/>
      <c r="G12" s="61"/>
      <c r="H12" s="20">
        <f t="shared" si="2"/>
        <v>1484049.6</v>
      </c>
      <c r="I12" s="21">
        <f>MAYO!I12+MAYO!J12</f>
        <v>489382</v>
      </c>
      <c r="J12" s="21">
        <f>'LIBRO DE PRESUPUESTO'!J52</f>
        <v>60170</v>
      </c>
      <c r="K12" s="15">
        <f t="shared" ref="K12:K48" si="4">L12/H12</f>
        <v>0.37030568250549034</v>
      </c>
      <c r="L12" s="23">
        <f t="shared" si="1"/>
        <v>549552</v>
      </c>
      <c r="M12" s="24">
        <f t="shared" si="3"/>
        <v>934497.60000000009</v>
      </c>
      <c r="N12" s="17">
        <f>M12/H12</f>
        <v>0.62969431749450966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11"/>
      <c r="E13" s="22"/>
      <c r="F13" s="34"/>
      <c r="G13" s="61"/>
      <c r="H13" s="20">
        <f t="shared" si="2"/>
        <v>15036740.388045937</v>
      </c>
      <c r="I13" s="21">
        <f>MAYO!I13+MAYO!J13</f>
        <v>4617212</v>
      </c>
      <c r="J13" s="41">
        <f>'LIBRO DE PRESUPUESTO'!J70+'LIBRO DE PRESUPUESTO'!J71</f>
        <v>2107252</v>
      </c>
      <c r="K13" s="15">
        <f t="shared" si="4"/>
        <v>0.4472022410751923</v>
      </c>
      <c r="L13" s="23">
        <f t="shared" si="1"/>
        <v>6724464</v>
      </c>
      <c r="M13" s="24">
        <f t="shared" si="3"/>
        <v>8312276.3880459368</v>
      </c>
      <c r="N13" s="17">
        <f>M13/H13</f>
        <v>0.55279775892480765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11"/>
      <c r="E14" s="22"/>
      <c r="F14" s="34"/>
      <c r="G14" s="61"/>
      <c r="H14" s="20">
        <f t="shared" si="2"/>
        <v>22003952.024810392</v>
      </c>
      <c r="I14" s="21">
        <f>MAYO!I14+MAYO!J14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11"/>
      <c r="E15" s="22"/>
      <c r="F15" s="34"/>
      <c r="G15" s="61"/>
      <c r="H15" s="20">
        <f t="shared" si="2"/>
        <v>22920783.359177493</v>
      </c>
      <c r="I15" s="21">
        <f>MAYO!I15+MAYO!J15</f>
        <v>5543228</v>
      </c>
      <c r="J15" s="41">
        <f>'LIBRO DE PRESUPUESTO'!J91+'LIBRO DE PRESUPUESTO'!J92</f>
        <v>2195287</v>
      </c>
      <c r="K15" s="15">
        <f t="shared" si="4"/>
        <v>0.33762000533465603</v>
      </c>
      <c r="L15" s="23">
        <f t="shared" si="1"/>
        <v>7738515</v>
      </c>
      <c r="M15" s="24">
        <f t="shared" si="3"/>
        <v>15182268.359177493</v>
      </c>
      <c r="N15" s="17">
        <f>M15/H15</f>
        <v>0.66237999466534403</v>
      </c>
    </row>
    <row r="16" spans="1:14" ht="15" x14ac:dyDescent="0.25">
      <c r="A16" s="18">
        <v>45</v>
      </c>
      <c r="B16" s="19" t="s">
        <v>35</v>
      </c>
      <c r="C16" s="215">
        <v>0</v>
      </c>
      <c r="D16" s="311"/>
      <c r="E16" s="22">
        <v>1000000</v>
      </c>
      <c r="F16" s="34"/>
      <c r="G16" s="61"/>
      <c r="H16" s="20">
        <f t="shared" si="2"/>
        <v>1000000</v>
      </c>
      <c r="I16" s="21">
        <f>MAYO!I16+MAYO!J16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11"/>
      <c r="E17" s="22"/>
      <c r="F17" s="34"/>
      <c r="G17" s="61"/>
      <c r="H17" s="20">
        <f t="shared" si="2"/>
        <v>37123610.942899451</v>
      </c>
      <c r="I17" s="21">
        <f>MAYO!I17+MAYO!J17</f>
        <v>0</v>
      </c>
      <c r="J17" s="41">
        <f>'LIBRO DE PRESUPUESTO'!J108+'LIBRO DE PRESUPUESTO'!J109</f>
        <v>10696252</v>
      </c>
      <c r="K17" s="15">
        <f t="shared" si="4"/>
        <v>0.28812531239086936</v>
      </c>
      <c r="L17" s="23">
        <f>J17+I17</f>
        <v>10696252</v>
      </c>
      <c r="M17" s="24">
        <f t="shared" si="3"/>
        <v>26427358.942899451</v>
      </c>
      <c r="N17" s="17">
        <f>M17/H17</f>
        <v>0.71187468760913064</v>
      </c>
    </row>
    <row r="18" spans="1:14" ht="15" x14ac:dyDescent="0.25">
      <c r="A18" s="26">
        <v>45</v>
      </c>
      <c r="B18" s="19" t="s">
        <v>36</v>
      </c>
      <c r="C18" s="215">
        <v>0</v>
      </c>
      <c r="D18" s="311"/>
      <c r="E18" s="22">
        <v>2817477</v>
      </c>
      <c r="F18" s="34"/>
      <c r="G18" s="61"/>
      <c r="H18" s="20">
        <f t="shared" si="2"/>
        <v>2817477</v>
      </c>
      <c r="I18" s="21">
        <f>MAYO!I18+MAYO!J18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11"/>
      <c r="E19" s="22"/>
      <c r="F19" s="34"/>
      <c r="G19" s="61"/>
      <c r="H19" s="20">
        <f t="shared" si="2"/>
        <v>47751631.998286448</v>
      </c>
      <c r="I19" s="21">
        <f>MAYO!I19+MAYO!J19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MAYO!I21+MAYO!J21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MAYO!I22+MAYO!J22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MAYO!I23+MAYO!J23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MAYO!I24+MAYO!J24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20652600</v>
      </c>
      <c r="J25" s="65">
        <f t="shared" si="7"/>
        <v>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MAYO!I26+MAYO!J26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MAYO!I27+MAYO!J27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MAYO!I28+MAYO!J28</f>
        <v>20652600</v>
      </c>
      <c r="J28" s="21"/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MAYO!I29+MAYO!J29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MAYO!I30+MAYO!J30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79041325</v>
      </c>
      <c r="J31" s="65">
        <f t="shared" si="8"/>
        <v>7372100</v>
      </c>
      <c r="K31" s="66">
        <f>L31/H31</f>
        <v>0.4362545051425204</v>
      </c>
      <c r="L31" s="67">
        <f>I31+J31</f>
        <v>86413425</v>
      </c>
      <c r="M31" s="72">
        <f>SUM(M32:M48)</f>
        <v>111666879</v>
      </c>
      <c r="N31" s="68">
        <f>M31/H31</f>
        <v>0.5637454948574796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MAYO!I32+MAYO!J32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MAYO!I33+MAYO!J33</f>
        <v>2281000</v>
      </c>
      <c r="J33" s="21"/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MAYO!I34+MAYO!J34</f>
        <v>39298328</v>
      </c>
      <c r="J34" s="21"/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MAYO!I35+MAYO!J35</f>
        <v>5638390</v>
      </c>
      <c r="J35" s="21">
        <f>'LIBRO DE PRESUPUESTO'!J259+'LIBRO DE PRESUPUESTO'!J260+'LIBRO DE PRESUPUESTO'!J261+'LIBRO DE PRESUPUESTO'!J262+'LIBRO DE PRESUPUESTO'!J263+'LIBRO DE PRESUPUESTO'!J264+'LIBRO DE PRESUPUESTO'!J265</f>
        <v>6256513</v>
      </c>
      <c r="K35" s="15">
        <f t="shared" si="4"/>
        <v>0.23789805999999999</v>
      </c>
      <c r="L35" s="23">
        <f t="shared" si="10"/>
        <v>11894903</v>
      </c>
      <c r="M35" s="24">
        <f t="shared" si="3"/>
        <v>38105097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MAYO!I36+MAYO!J36</f>
        <v>534100</v>
      </c>
      <c r="J36" s="41"/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MAYO!I37+MAYO!J37</f>
        <v>3726200</v>
      </c>
      <c r="J37" s="41">
        <f>'LIBRO DE PRESUPUESTO'!J367</f>
        <v>581000</v>
      </c>
      <c r="K37" s="15">
        <f t="shared" si="4"/>
        <v>0.39881481481481479</v>
      </c>
      <c r="L37" s="23">
        <f t="shared" si="10"/>
        <v>4307200</v>
      </c>
      <c r="M37" s="24">
        <f t="shared" si="3"/>
        <v>6492800</v>
      </c>
      <c r="N37" s="17">
        <f>M37/H37</f>
        <v>0.60118518518518516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MAYO!I38+MAYO!J38</f>
        <v>2464845</v>
      </c>
      <c r="J38" s="41">
        <f>'LIBRO DE PRESUPUESTO'!J392+'LIBRO DE PRESUPUESTO'!J393+'LIBRO DE PRESUPUESTO'!J394</f>
        <v>471997</v>
      </c>
      <c r="K38" s="15">
        <f t="shared" si="4"/>
        <v>0.4449760606060606</v>
      </c>
      <c r="L38" s="23">
        <f t="shared" si="10"/>
        <v>2936842</v>
      </c>
      <c r="M38" s="24">
        <f t="shared" si="3"/>
        <v>3663158</v>
      </c>
      <c r="N38" s="17">
        <f>M38/H38</f>
        <v>0.55502393939393935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MAYO!I39+MAYO!J39</f>
        <v>632210</v>
      </c>
      <c r="J39" s="25">
        <f>'LIBRO DE PRESUPUESTO'!J425</f>
        <v>62590</v>
      </c>
      <c r="K39" s="15">
        <f t="shared" si="4"/>
        <v>0.361875</v>
      </c>
      <c r="L39" s="23">
        <f t="shared" si="10"/>
        <v>694800</v>
      </c>
      <c r="M39" s="24">
        <f t="shared" si="3"/>
        <v>1225200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MAYO!I40+MAYO!J40</f>
        <v>0</v>
      </c>
      <c r="J40" s="21"/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MAYO!I41+MAYO!J41</f>
        <v>0</v>
      </c>
      <c r="J41" s="21"/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PRESUPUESTO'!G456</f>
        <v>631976</v>
      </c>
      <c r="G42" s="61"/>
      <c r="H42" s="20">
        <f t="shared" si="9"/>
        <v>8631976</v>
      </c>
      <c r="I42" s="21">
        <f>MAYO!I42+MAYO!J42</f>
        <v>7786252</v>
      </c>
      <c r="J42" s="43"/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MAYO!I43+MAYO!J43</f>
        <v>0</v>
      </c>
      <c r="J43" s="43"/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MAYO!I44+MAYO!J44</f>
        <v>500000</v>
      </c>
      <c r="J44" s="43"/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MAYO!I45+MAYO!J45</f>
        <v>0</v>
      </c>
      <c r="J45" s="21"/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MAYO!I46+MAYO!J46</f>
        <v>0</v>
      </c>
      <c r="J46" s="21"/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MAYO!I47+MAYO!J47</f>
        <v>0</v>
      </c>
      <c r="J47" s="21"/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MAYO!I48+MAYO!J48</f>
        <v>0</v>
      </c>
      <c r="J48" s="21"/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296">
        <f t="shared" ref="C49:J49" si="12">C50</f>
        <v>0</v>
      </c>
      <c r="D49" s="296">
        <f t="shared" si="12"/>
        <v>0</v>
      </c>
      <c r="E49" s="296">
        <f t="shared" si="12"/>
        <v>0</v>
      </c>
      <c r="F49" s="296">
        <f t="shared" si="12"/>
        <v>1000000</v>
      </c>
      <c r="G49" s="296">
        <f t="shared" si="12"/>
        <v>0</v>
      </c>
      <c r="H49" s="296">
        <f t="shared" si="12"/>
        <v>1000000</v>
      </c>
      <c r="I49" s="297">
        <f t="shared" si="12"/>
        <v>335104</v>
      </c>
      <c r="J49" s="309">
        <f t="shared" si="12"/>
        <v>0</v>
      </c>
      <c r="K49" s="298">
        <v>0</v>
      </c>
      <c r="L49" s="63">
        <f t="shared" si="10"/>
        <v>335104</v>
      </c>
      <c r="M49" s="299">
        <f>M50</f>
        <v>664896</v>
      </c>
      <c r="N49" s="310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295"/>
      <c r="D50" s="21"/>
      <c r="E50" s="22"/>
      <c r="F50" s="34">
        <v>1000000</v>
      </c>
      <c r="G50" s="61"/>
      <c r="H50" s="20">
        <f>C50-D50+E50+F50-G50</f>
        <v>1000000</v>
      </c>
      <c r="I50" s="21">
        <f>MAYO!I50+MAYO!J50</f>
        <v>335104</v>
      </c>
      <c r="J50" s="21"/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24230053</v>
      </c>
      <c r="J51" s="70">
        <f t="shared" si="13"/>
        <v>4620730</v>
      </c>
      <c r="K51" s="66">
        <f>L51/H51</f>
        <v>0.34437469578228064</v>
      </c>
      <c r="L51" s="70">
        <f>SUM(L52:L55)</f>
        <v>28850783</v>
      </c>
      <c r="M51" s="70">
        <f>SUM(M52:M55)</f>
        <v>54926519.320260897</v>
      </c>
      <c r="N51" s="68">
        <f t="shared" si="11"/>
        <v>0.65562530421771936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11"/>
      <c r="E52" s="22"/>
      <c r="F52" s="34"/>
      <c r="G52" s="61"/>
      <c r="H52" s="20">
        <f>C52-D52+E52+F52-G52</f>
        <v>13146617.570005897</v>
      </c>
      <c r="I52" s="21">
        <f>MAYO!I52+MAYO!J52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11"/>
      <c r="E53" s="22"/>
      <c r="F53" s="34"/>
      <c r="G53" s="61"/>
      <c r="H53" s="20">
        <f>C53-D53+E53+F53-G53</f>
        <v>43392204</v>
      </c>
      <c r="I53" s="21">
        <f>MAYO!I53+MAYO!J53</f>
        <v>17816665</v>
      </c>
      <c r="J53" s="41">
        <f>'LIBRO DE PRESUPUESTO'!J532</f>
        <v>3520684</v>
      </c>
      <c r="K53" s="15">
        <f t="shared" si="14"/>
        <v>0.49173231670831929</v>
      </c>
      <c r="L53" s="23">
        <f>J53+I53</f>
        <v>21337349</v>
      </c>
      <c r="M53" s="24">
        <f t="shared" si="3"/>
        <v>22054855</v>
      </c>
      <c r="N53" s="17">
        <f t="shared" si="11"/>
        <v>0.50826768329168071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11"/>
      <c r="E54" s="22"/>
      <c r="F54" s="34"/>
      <c r="G54" s="61"/>
      <c r="H54" s="20">
        <f>C54-D54+E54+F54-G54</f>
        <v>21030768.590477761</v>
      </c>
      <c r="I54" s="21">
        <f>MAYO!I54+MAYO!J54</f>
        <v>6413388</v>
      </c>
      <c r="J54" s="41">
        <f>'LIBRO DE PRESUPUESTO'!J547</f>
        <v>1100046</v>
      </c>
      <c r="K54" s="15">
        <f t="shared" si="14"/>
        <v>0.35725912572695545</v>
      </c>
      <c r="L54" s="23">
        <f>J54+I54</f>
        <v>7513434</v>
      </c>
      <c r="M54" s="24">
        <f t="shared" si="3"/>
        <v>13517334.590477761</v>
      </c>
      <c r="N54" s="17">
        <f t="shared" si="11"/>
        <v>0.6427408742730446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12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40050588</v>
      </c>
      <c r="J56" s="65">
        <f t="shared" si="15"/>
        <v>9276304</v>
      </c>
      <c r="K56" s="66">
        <f>L56/H56</f>
        <v>0.38711253581546307</v>
      </c>
      <c r="L56" s="67">
        <f>SUM(L57:L66)</f>
        <v>49326892</v>
      </c>
      <c r="M56" s="72">
        <f>SUM(M57:M66)</f>
        <v>78095724</v>
      </c>
      <c r="N56" s="68">
        <f t="shared" si="11"/>
        <v>0.61288746418453688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11"/>
      <c r="E57" s="22"/>
      <c r="F57" s="34"/>
      <c r="G57" s="61"/>
      <c r="H57" s="20">
        <f t="shared" ref="H57:H69" si="16">C57-D57+E57+F57-G57</f>
        <v>38584317</v>
      </c>
      <c r="I57" s="21">
        <f>MAYO!I57+MAYO!J57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11"/>
      <c r="E58" s="22"/>
      <c r="F58" s="34"/>
      <c r="G58" s="61"/>
      <c r="H58" s="20">
        <f t="shared" si="16"/>
        <v>0</v>
      </c>
      <c r="I58" s="21">
        <f>MAYO!I58+MAYO!J58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11"/>
      <c r="E59" s="22"/>
      <c r="F59" s="34"/>
      <c r="G59" s="61"/>
      <c r="H59" s="20">
        <f t="shared" si="16"/>
        <v>2664792</v>
      </c>
      <c r="I59" s="21">
        <f>MAYO!I59+MAYO!J59</f>
        <v>1421800</v>
      </c>
      <c r="J59" s="41">
        <f>'LIBRO DE PRESUPUESTO'!J590</f>
        <v>281000</v>
      </c>
      <c r="K59" s="15">
        <f t="shared" si="14"/>
        <v>0.6389992164491638</v>
      </c>
      <c r="L59" s="23">
        <f t="shared" si="17"/>
        <v>1702800</v>
      </c>
      <c r="M59" s="24">
        <f t="shared" si="3"/>
        <v>961992</v>
      </c>
      <c r="N59" s="17">
        <f t="shared" ref="N59:N65" si="18">M59/H59</f>
        <v>0.36100078355083626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11"/>
      <c r="E60" s="22"/>
      <c r="F60" s="34"/>
      <c r="G60" s="61"/>
      <c r="H60" s="20">
        <f t="shared" si="16"/>
        <v>40228819</v>
      </c>
      <c r="I60" s="21">
        <f>MAYO!I60+MAYO!J60</f>
        <v>18882147</v>
      </c>
      <c r="J60" s="37">
        <f>'LIBRO DE PRESUPUESTO'!J606</f>
        <v>3973704</v>
      </c>
      <c r="K60" s="15">
        <f t="shared" si="14"/>
        <v>0.56814620881612254</v>
      </c>
      <c r="L60" s="23">
        <f t="shared" si="17"/>
        <v>22855851</v>
      </c>
      <c r="M60" s="24">
        <f t="shared" si="3"/>
        <v>17372968</v>
      </c>
      <c r="N60" s="17">
        <f t="shared" si="18"/>
        <v>0.4318537911838774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11"/>
      <c r="E61" s="22"/>
      <c r="F61" s="34"/>
      <c r="G61" s="61"/>
      <c r="H61" s="20">
        <f t="shared" si="16"/>
        <v>20419860</v>
      </c>
      <c r="I61" s="21">
        <f>MAYO!I61+MAYO!J61</f>
        <v>8353900</v>
      </c>
      <c r="J61" s="41">
        <f>'LIBRO DE PRESUPUESTO'!J622</f>
        <v>2231300</v>
      </c>
      <c r="K61" s="15">
        <f t="shared" si="14"/>
        <v>0.51837769700673753</v>
      </c>
      <c r="L61" s="23">
        <f t="shared" si="17"/>
        <v>10585200</v>
      </c>
      <c r="M61" s="24">
        <f t="shared" si="3"/>
        <v>9834660</v>
      </c>
      <c r="N61" s="17">
        <f t="shared" si="18"/>
        <v>0.48162230299326242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11"/>
      <c r="E62" s="22"/>
      <c r="F62" s="34"/>
      <c r="G62" s="61"/>
      <c r="H62" s="20">
        <f t="shared" si="16"/>
        <v>15314892</v>
      </c>
      <c r="I62" s="21">
        <f>MAYO!I62+MAYO!J62</f>
        <v>6298200</v>
      </c>
      <c r="J62" s="41">
        <f>'LIBRO DE PRESUPUESTO'!J638</f>
        <v>1673500</v>
      </c>
      <c r="K62" s="15">
        <f t="shared" si="14"/>
        <v>0.52051950480617171</v>
      </c>
      <c r="L62" s="23">
        <f t="shared" si="17"/>
        <v>7971700</v>
      </c>
      <c r="M62" s="24">
        <f t="shared" si="3"/>
        <v>7343192</v>
      </c>
      <c r="N62" s="17">
        <f t="shared" si="18"/>
        <v>0.47948049519382835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11"/>
      <c r="E63" s="22"/>
      <c r="F63" s="34"/>
      <c r="G63" s="61"/>
      <c r="H63" s="20">
        <f t="shared" si="16"/>
        <v>2552484</v>
      </c>
      <c r="I63" s="21">
        <f>MAYO!I63+MAYO!J63</f>
        <v>1052000</v>
      </c>
      <c r="J63" s="41">
        <f>'LIBRO DE PRESUPUESTO'!J654</f>
        <v>279300</v>
      </c>
      <c r="K63" s="15">
        <f t="shared" si="14"/>
        <v>0.52157036048022243</v>
      </c>
      <c r="L63" s="23">
        <f t="shared" si="17"/>
        <v>1331300</v>
      </c>
      <c r="M63" s="24">
        <f t="shared" si="3"/>
        <v>1221184</v>
      </c>
      <c r="N63" s="17">
        <f t="shared" si="18"/>
        <v>0.47842963951977757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11"/>
      <c r="E64" s="22"/>
      <c r="F64" s="34"/>
      <c r="G64" s="61"/>
      <c r="H64" s="20">
        <f t="shared" si="16"/>
        <v>2552484</v>
      </c>
      <c r="I64" s="21">
        <f>MAYO!I64+MAYO!J64</f>
        <v>1052000</v>
      </c>
      <c r="J64" s="41">
        <f>'LIBRO DE PRESUPUESTO'!J669</f>
        <v>279300</v>
      </c>
      <c r="K64" s="15">
        <f t="shared" si="14"/>
        <v>0.52157036048022243</v>
      </c>
      <c r="L64" s="23">
        <f t="shared" si="17"/>
        <v>1331300</v>
      </c>
      <c r="M64" s="24">
        <f t="shared" si="3"/>
        <v>1221184</v>
      </c>
      <c r="N64" s="17">
        <f t="shared" si="18"/>
        <v>0.47842963951977757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11"/>
      <c r="E65" s="22"/>
      <c r="F65" s="34"/>
      <c r="G65" s="61"/>
      <c r="H65" s="20">
        <f t="shared" si="16"/>
        <v>5104968</v>
      </c>
      <c r="I65" s="21">
        <f>MAYO!I65+MAYO!J65</f>
        <v>2101400</v>
      </c>
      <c r="J65" s="41">
        <f>'LIBRO DE PRESUPUESTO'!J689</f>
        <v>558200</v>
      </c>
      <c r="K65" s="15">
        <f t="shared" si="14"/>
        <v>0.52098269763884908</v>
      </c>
      <c r="L65" s="23">
        <f t="shared" si="17"/>
        <v>2659600</v>
      </c>
      <c r="M65" s="24">
        <f t="shared" si="3"/>
        <v>2445368</v>
      </c>
      <c r="N65" s="17">
        <f t="shared" si="18"/>
        <v>0.47901730236115092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MAYO!I66+MAYO!J66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413729190</v>
      </c>
      <c r="J70" s="83">
        <f t="shared" si="19"/>
        <v>75154423</v>
      </c>
      <c r="K70" s="84">
        <f>L70/H70</f>
        <v>0.40236628747753223</v>
      </c>
      <c r="L70" s="83">
        <f>L8+L20+L25+L31+L49+L51+L56+L67</f>
        <v>488883613</v>
      </c>
      <c r="M70" s="83">
        <f>M8+M20+M25+M31+M51+M49+M56+M67</f>
        <v>726137695.23348057</v>
      </c>
      <c r="N70" s="85">
        <f>M70/H70</f>
        <v>0.59763371252246766</v>
      </c>
    </row>
    <row r="71" spans="1:16" ht="35.25" customHeight="1" thickBot="1" x14ac:dyDescent="0.3">
      <c r="A71" s="81" t="s">
        <v>114</v>
      </c>
      <c r="B71" s="444" t="s">
        <v>115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6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PAC INICIAL 2018</vt:lpstr>
      <vt:lpstr>LIBRO DE PRESUPUESTO</vt:lpstr>
      <vt:lpstr>DCIEMBRE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ingresos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2019-01-03T15:55:25Z</cp:lastPrinted>
  <dcterms:created xsi:type="dcterms:W3CDTF">2017-04-04T19:21:33Z</dcterms:created>
  <dcterms:modified xsi:type="dcterms:W3CDTF">2019-01-04T20:05:48Z</dcterms:modified>
</cp:coreProperties>
</file>